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6605" windowHeight="7170" activeTab="3"/>
  </bookViews>
  <sheets>
    <sheet name="BIEU 48" sheetId="1" r:id="rId1"/>
    <sheet name="BIEU 49" sheetId="2" r:id="rId2"/>
    <sheet name="BIEU 50" sheetId="3" r:id="rId3"/>
    <sheet name="BIEU 51" sheetId="4" r:id="rId4"/>
    <sheet name="BIEU 52" sheetId="5" r:id="rId5"/>
    <sheet name="BIEU 53" sheetId="6" r:id="rId6"/>
    <sheet name="BIEU 54" sheetId="7" r:id="rId7"/>
    <sheet name="BIEU 55" sheetId="8" r:id="rId8"/>
    <sheet name="BIEU 56" sheetId="9" r:id="rId9"/>
    <sheet name="BIEU 57" sheetId="10" r:id="rId10"/>
    <sheet name="BIEU 58" sheetId="11" r:id="rId11"/>
    <sheet name="BIEU 59" sheetId="12" r:id="rId12"/>
    <sheet name="BIEU 60" sheetId="13" r:id="rId13"/>
    <sheet name="BIEU 61" sheetId="14" r:id="rId14"/>
    <sheet name="BIEU 62" sheetId="15" r:id="rId15"/>
    <sheet name="PL6243" sheetId="16" state="hidden" r:id="rId16"/>
    <sheet name="BIEU 63" sheetId="17" r:id="rId17"/>
    <sheet name="BIEU 64" sheetId="18" r:id="rId18"/>
  </sheets>
  <externalReferences>
    <externalReference r:id="rId21"/>
    <externalReference r:id="rId22"/>
    <externalReference r:id="rId23"/>
    <externalReference r:id="rId24"/>
    <externalReference r:id="rId25"/>
    <externalReference r:id="rId26"/>
    <externalReference r:id="rId27"/>
  </externalReferences>
  <definedNames>
    <definedName name="ADP">#REF!</definedName>
    <definedName name="AKHAC">#REF!</definedName>
    <definedName name="ALTINH">#REF!</definedName>
    <definedName name="ANN">#REF!</definedName>
    <definedName name="ANQD">#REF!</definedName>
    <definedName name="ANQQH" localSheetId="6">'[2]Dt 2001'!#REF!</definedName>
    <definedName name="ANQQH" localSheetId="7">'[2]Dt 2001'!#REF!</definedName>
    <definedName name="ANQQH" localSheetId="8">'[2]Dt 2001'!#REF!</definedName>
    <definedName name="ANQQH" localSheetId="9">'[2]Dt 2001'!#REF!</definedName>
    <definedName name="ANQQH" localSheetId="10">'[2]Dt 2001'!#REF!</definedName>
    <definedName name="ANQQH" localSheetId="12">'[2]Dt 2001'!#REF!</definedName>
    <definedName name="ANQQH" localSheetId="13">'[2]Dt 2001'!#REF!</definedName>
    <definedName name="ANQQH" localSheetId="16">'[2]Dt 2001'!#REF!</definedName>
    <definedName name="ANQQH" localSheetId="17">'[2]Dt 2001'!#REF!</definedName>
    <definedName name="ANQQH">'[2]Dt 2001'!#REF!</definedName>
    <definedName name="ANSNN" localSheetId="6">'[2]Dt 2001'!#REF!</definedName>
    <definedName name="ANSNN" localSheetId="7">'[2]Dt 2001'!#REF!</definedName>
    <definedName name="ANSNN" localSheetId="8">'[2]Dt 2001'!#REF!</definedName>
    <definedName name="ANSNN" localSheetId="9">'[2]Dt 2001'!#REF!</definedName>
    <definedName name="ANSNN" localSheetId="10">'[2]Dt 2001'!#REF!</definedName>
    <definedName name="ANSNN" localSheetId="12">'[2]Dt 2001'!#REF!</definedName>
    <definedName name="ANSNN" localSheetId="13">'[2]Dt 2001'!#REF!</definedName>
    <definedName name="ANSNN" localSheetId="16">'[2]Dt 2001'!#REF!</definedName>
    <definedName name="ANSNN" localSheetId="17">'[2]Dt 2001'!#REF!</definedName>
    <definedName name="ANSNN">'[2]Dt 2001'!#REF!</definedName>
    <definedName name="ANSNNxnk" localSheetId="6">'[2]Dt 2001'!#REF!</definedName>
    <definedName name="ANSNNxnk" localSheetId="7">'[2]Dt 2001'!#REF!</definedName>
    <definedName name="ANSNNxnk" localSheetId="8">'[2]Dt 2001'!#REF!</definedName>
    <definedName name="ANSNNxnk" localSheetId="9">'[2]Dt 2001'!#REF!</definedName>
    <definedName name="ANSNNxnk" localSheetId="10">'[2]Dt 2001'!#REF!</definedName>
    <definedName name="ANSNNxnk" localSheetId="12">'[2]Dt 2001'!#REF!</definedName>
    <definedName name="ANSNNxnk" localSheetId="13">'[2]Dt 2001'!#REF!</definedName>
    <definedName name="ANSNNxnk" localSheetId="16">'[2]Dt 2001'!#REF!</definedName>
    <definedName name="ANSNNxnk" localSheetId="17">'[2]Dt 2001'!#REF!</definedName>
    <definedName name="ANSNNxnk">'[2]Dt 2001'!#REF!</definedName>
    <definedName name="Anguon" localSheetId="6">'[2]Dt 2001'!#REF!</definedName>
    <definedName name="Anguon" localSheetId="7">'[2]Dt 2001'!#REF!</definedName>
    <definedName name="Anguon" localSheetId="8">'[2]Dt 2001'!#REF!</definedName>
    <definedName name="Anguon" localSheetId="9">'[2]Dt 2001'!#REF!</definedName>
    <definedName name="Anguon" localSheetId="10">'[2]Dt 2001'!#REF!</definedName>
    <definedName name="Anguon" localSheetId="12">'[2]Dt 2001'!#REF!</definedName>
    <definedName name="Anguon" localSheetId="13">'[2]Dt 2001'!#REF!</definedName>
    <definedName name="Anguon" localSheetId="16">'[2]Dt 2001'!#REF!</definedName>
    <definedName name="Anguon" localSheetId="17">'[2]Dt 2001'!#REF!</definedName>
    <definedName name="Anguon">'[2]Dt 2001'!#REF!</definedName>
    <definedName name="APC" localSheetId="6">'[2]Dt 2001'!#REF!</definedName>
    <definedName name="APC" localSheetId="7">'[2]Dt 2001'!#REF!</definedName>
    <definedName name="APC" localSheetId="8">'[2]Dt 2001'!#REF!</definedName>
    <definedName name="APC" localSheetId="9">'[2]Dt 2001'!#REF!</definedName>
    <definedName name="APC" localSheetId="10">'[2]Dt 2001'!#REF!</definedName>
    <definedName name="APC" localSheetId="12">'[2]Dt 2001'!#REF!</definedName>
    <definedName name="APC" localSheetId="13">'[2]Dt 2001'!#REF!</definedName>
    <definedName name="APC" localSheetId="16">'[2]Dt 2001'!#REF!</definedName>
    <definedName name="APC" localSheetId="17">'[2]Dt 2001'!#REF!</definedName>
    <definedName name="APC">'[2]Dt 2001'!#REF!</definedName>
    <definedName name="ATW">#REF!</definedName>
    <definedName name="Can_doi">#REF!</definedName>
    <definedName name="chuong_phuluc_48_name" localSheetId="0">'BIEU 48'!$A$6</definedName>
    <definedName name="chuong_phuluc_49_name" localSheetId="1">'BIEU 49'!$A$6</definedName>
    <definedName name="chuong_phuluc_50_name" localSheetId="2">'BIEU 50'!$A$6</definedName>
    <definedName name="chuong_phuluc_51" localSheetId="3">'BIEU 51'!$A$3</definedName>
    <definedName name="chuong_phuluc_51_name" localSheetId="3">'BIEU 51'!$A$6</definedName>
    <definedName name="chuong_phuluc_52_name" localSheetId="4">'BIEU 52'!$A$6</definedName>
    <definedName name="DNNN">#REF!</definedName>
    <definedName name="Khac">#REF!</definedName>
    <definedName name="Khong_can_doi">#REF!</definedName>
    <definedName name="NQD">#REF!</definedName>
    <definedName name="NQQH" localSheetId="6">'[2]Dt 2001'!#REF!</definedName>
    <definedName name="NQQH" localSheetId="7">'[2]Dt 2001'!#REF!</definedName>
    <definedName name="NQQH" localSheetId="8">'[2]Dt 2001'!#REF!</definedName>
    <definedName name="NQQH" localSheetId="9">'[2]Dt 2001'!#REF!</definedName>
    <definedName name="NQQH" localSheetId="10">'[2]Dt 2001'!#REF!</definedName>
    <definedName name="NQQH" localSheetId="12">'[2]Dt 2001'!#REF!</definedName>
    <definedName name="NQQH" localSheetId="13">'[2]Dt 2001'!#REF!</definedName>
    <definedName name="NQQH" localSheetId="16">'[2]Dt 2001'!#REF!</definedName>
    <definedName name="NQQH" localSheetId="17">'[2]Dt 2001'!#REF!</definedName>
    <definedName name="NQQH">'[2]Dt 2001'!#REF!</definedName>
    <definedName name="NSNN" localSheetId="6">'[2]Dt 2001'!#REF!</definedName>
    <definedName name="NSNN" localSheetId="7">'[2]Dt 2001'!#REF!</definedName>
    <definedName name="NSNN" localSheetId="8">'[2]Dt 2001'!#REF!</definedName>
    <definedName name="NSNN" localSheetId="9">'[2]Dt 2001'!#REF!</definedName>
    <definedName name="NSNN" localSheetId="10">'[2]Dt 2001'!#REF!</definedName>
    <definedName name="NSNN" localSheetId="12">'[2]Dt 2001'!#REF!</definedName>
    <definedName name="NSNN" localSheetId="13">'[2]Dt 2001'!#REF!</definedName>
    <definedName name="NSNN" localSheetId="16">'[2]Dt 2001'!#REF!</definedName>
    <definedName name="NSNN" localSheetId="17">'[2]Dt 2001'!#REF!</definedName>
    <definedName name="NSNN">'[2]Dt 2001'!#REF!</definedName>
    <definedName name="PC" localSheetId="6">'[2]Dt 2001'!#REF!</definedName>
    <definedName name="PC" localSheetId="7">'[2]Dt 2001'!#REF!</definedName>
    <definedName name="PC" localSheetId="8">'[2]Dt 2001'!#REF!</definedName>
    <definedName name="PC" localSheetId="9">'[2]Dt 2001'!#REF!</definedName>
    <definedName name="PC" localSheetId="10">'[2]Dt 2001'!#REF!</definedName>
    <definedName name="PC" localSheetId="12">'[2]Dt 2001'!#REF!</definedName>
    <definedName name="PC" localSheetId="13">'[2]Dt 2001'!#REF!</definedName>
    <definedName name="PC" localSheetId="16">'[2]Dt 2001'!#REF!</definedName>
    <definedName name="PC" localSheetId="17">'[2]Dt 2001'!#REF!</definedName>
    <definedName name="PC">'[2]Dt 2001'!#REF!</definedName>
    <definedName name="_xlnm.Print_Area" localSheetId="5">'BIEU 53'!$A$1:$K$82</definedName>
    <definedName name="_xlnm.Print_Area" localSheetId="6">'BIEU 54'!$A$1:$X$91</definedName>
    <definedName name="_xlnm.Print_Area" localSheetId="7">'BIEU 55'!$A$1:$T$28</definedName>
    <definedName name="_xlnm.Print_Area" localSheetId="8">'BIEU 56'!$A$1:$T$51</definedName>
    <definedName name="_xlnm.Print_Area" localSheetId="9">'BIEU 57'!$A$1:$K$57</definedName>
    <definedName name="_xlnm.Print_Area" localSheetId="10">'BIEU 58'!$A$1:$W$60</definedName>
    <definedName name="_xlnm.Print_Area" localSheetId="11">'BIEU 59'!$A$1:$Z$34</definedName>
    <definedName name="_xlnm.Print_Area" localSheetId="12">'BIEU 60'!$A$1:$H$31</definedName>
    <definedName name="_xlnm.Print_Area" localSheetId="13">'BIEU 61'!$A$1:$R$30</definedName>
    <definedName name="_xlnm.Print_Area" localSheetId="16">'BIEU 63'!$A$1:$L$23</definedName>
    <definedName name="_xlnm.Print_Area" localSheetId="17">'BIEU 64'!$A$1:$E$27</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12">#REF!</definedName>
    <definedName name="PRINT_AREA_MI" localSheetId="13">#REF!</definedName>
    <definedName name="PRINT_AREA_MI" localSheetId="16">#REF!</definedName>
    <definedName name="PRINT_AREA_MI" localSheetId="17">#REF!</definedName>
    <definedName name="PRINT_AREA_MI">#REF!</definedName>
    <definedName name="_xlnm.Print_Titles" localSheetId="0">'BIEU 48'!$11:$12</definedName>
    <definedName name="_xlnm.Print_Titles" localSheetId="2">'BIEU 50'!$10:$12</definedName>
    <definedName name="_xlnm.Print_Titles" localSheetId="5">'BIEU 53'!$12:$16</definedName>
    <definedName name="_xlnm.Print_Titles" localSheetId="6">'BIEU 54'!$10:$14</definedName>
    <definedName name="_xlnm.Print_Titles" localSheetId="7">'BIEU 55'!$12:$15</definedName>
    <definedName name="_xlnm.Print_Titles" localSheetId="8">'BIEU 56'!$11:$14</definedName>
    <definedName name="_xlnm.Print_Titles" localSheetId="9">'BIEU 57'!$11:$14</definedName>
    <definedName name="_xlnm.Print_Titles" localSheetId="10">'BIEU 58'!$12:$15</definedName>
    <definedName name="_xlnm.Print_Titles" localSheetId="11">'BIEU 59'!$11:$13</definedName>
    <definedName name="_xlnm.Print_Titles" localSheetId="12">'BIEU 60'!$11:$15</definedName>
    <definedName name="_xlnm.Print_Titles" localSheetId="13">'BIEU 61'!$14:$19</definedName>
    <definedName name="_xlnm.Print_Titles" localSheetId="14">'BIEU 62'!$10:$15</definedName>
    <definedName name="_xlnm.Print_Titles" localSheetId="17">'BIEU 64'!$11:$14</definedName>
    <definedName name="_xlnm.Print_Titles" localSheetId="15">'PL6243'!$8:$12</definedName>
    <definedName name="Phan_cap">#REF!</definedName>
    <definedName name="Phi_le_phi">#REF!</definedName>
    <definedName name="TW">#REF!</definedName>
  </definedNames>
  <calcPr fullCalcOnLoad="1"/>
</workbook>
</file>

<file path=xl/sharedStrings.xml><?xml version="1.0" encoding="utf-8"?>
<sst xmlns="http://schemas.openxmlformats.org/spreadsheetml/2006/main" count="2104" uniqueCount="839">
  <si>
    <t>Đơn vị: Triệu đồng</t>
  </si>
  <si>
    <t xml:space="preserve">Dự toán </t>
  </si>
  <si>
    <t>Bao gồm</t>
  </si>
  <si>
    <t>Quyết toán</t>
  </si>
  <si>
    <t>So sánh (%)</t>
  </si>
  <si>
    <t>A</t>
  </si>
  <si>
    <t>B</t>
  </si>
  <si>
    <t>1=2+3</t>
  </si>
  <si>
    <t>4=5+6</t>
  </si>
  <si>
    <t>7=4/1</t>
  </si>
  <si>
    <t>8=5/2</t>
  </si>
  <si>
    <t>9=6/3</t>
  </si>
  <si>
    <t>TỔNG CHI NSĐP</t>
  </si>
  <si>
    <t>CHI CÂN ĐỐI NSĐP</t>
  </si>
  <si>
    <t>I</t>
  </si>
  <si>
    <t xml:space="preserve">Chi đầu tư phát triển </t>
  </si>
  <si>
    <t>Chi đầu tư cho các dự án</t>
  </si>
  <si>
    <t>Trong đó: Chia theo lĩnh vực</t>
  </si>
  <si>
    <t>-</t>
  </si>
  <si>
    <t xml:space="preserve"> Chi giáo dục - đào tạo và dạy nghề</t>
  </si>
  <si>
    <t xml:space="preserve"> Chi khoa học và công nghệ</t>
  </si>
  <si>
    <t>Trong đó: Chia theo nguồn vốn</t>
  </si>
  <si>
    <t>Chi đầu tư từ nguồn thu tiền sử dụng đất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</si>
  <si>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</si>
  <si>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</si>
  <si>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II</t>
  </si>
  <si>
    <t>Chi thường xuyên</t>
  </si>
  <si>
    <t>Trong đó:</t>
  </si>
  <si>
    <t>III</t>
  </si>
  <si>
    <t>Chi trả nợ lãi các khoản do chính quyền địa phương vay</t>
  </si>
  <si>
    <t>IV</t>
  </si>
  <si>
    <t xml:space="preserve">Chi bổ sung quỹ dự trữ tài chính </t>
  </si>
  <si>
    <t>V</t>
  </si>
  <si>
    <t>Dự phòng ngân sách</t>
  </si>
  <si>
    <t>VI</t>
  </si>
  <si>
    <t>Chi tạo nguồn, điều chỉnh tiền lương</t>
  </si>
  <si>
    <t>CHI CÁC CHƯƠNG TRÌNH MỤC TIÊU</t>
  </si>
  <si>
    <t>Chi các chương trình mục tiêu quốc gia</t>
  </si>
  <si>
    <t>Chi các chương trình mục tiêu, nhiệm vụ</t>
  </si>
  <si>
    <t>C</t>
  </si>
  <si>
    <t xml:space="preserve">CHI CHUYỂN NGUỒN SANG NĂM SAU </t>
  </si>
  <si>
    <t>Quốc phòng</t>
  </si>
  <si>
    <t>An ninh và trật tự an toàn xã hội</t>
  </si>
  <si>
    <t>Sự nghiệp y tế, dân số và gia đình</t>
  </si>
  <si>
    <t>Sự nghiệp văn hóa thông tin</t>
  </si>
  <si>
    <t>Sự nghiệp phát thanh, truyền hình</t>
  </si>
  <si>
    <t>Sự nghiệp thể dục thể thao</t>
  </si>
  <si>
    <t>Sự nghiệp bảo vệ môi trường</t>
  </si>
  <si>
    <t>Các hoạt động kinh tế</t>
  </si>
  <si>
    <t>Hoạt động của các cơ quan quản lý hành chính, tổ chức chính trị,…</t>
  </si>
  <si>
    <t>Chi đảm bảo xã hội</t>
  </si>
  <si>
    <t>Các khoản chi khác theo quy định của pháp luật</t>
  </si>
  <si>
    <t xml:space="preserve">Trong đó: </t>
  </si>
  <si>
    <t>Chi về hàng hóa dịch vụ</t>
  </si>
  <si>
    <t>a</t>
  </si>
  <si>
    <t>Lương và phụ cấp</t>
  </si>
  <si>
    <t>b</t>
  </si>
  <si>
    <t>Đóng góp của chủ sử dụng lao động</t>
  </si>
  <si>
    <t>c</t>
  </si>
  <si>
    <t>Chi về mua sắm hàng hóa dịch vụ khác</t>
  </si>
  <si>
    <t>Chi trợ cấp và chi bổ sung thường xuyên khác</t>
  </si>
  <si>
    <t>(Dùng cho ngân sách các cấp chính quyền địa phương)</t>
  </si>
  <si>
    <t>S
T
T</t>
  </si>
  <si>
    <t>Tổng số</t>
  </si>
  <si>
    <t>Chi trả nợ lãi do chính quyền địa phương vay (2)</t>
  </si>
  <si>
    <t>Chi bổ sung quỹ dự trữ tài chính (2)</t>
  </si>
  <si>
    <t>Chi chương trình MTQG</t>
  </si>
  <si>
    <t>Chi chuyển nguồn sang ngân sách năm sau</t>
  </si>
  <si>
    <t>Chi đầu tư phát triển</t>
  </si>
  <si>
    <t>Tên đơn vị</t>
  </si>
  <si>
    <t>TỔNG SỐ</t>
  </si>
  <si>
    <t>CÁC CƠ QUAN, TỔ CHỨC</t>
  </si>
  <si>
    <t>CHI TRẢ NỢ LÃI DO CHÍNH QUYỀN ĐỊA PHƯƠNG VAY (2)</t>
  </si>
  <si>
    <t>CHI BỔ SUNG  QUỸ DỰ TRỮ TÀI CHÍNH (2)</t>
  </si>
  <si>
    <t>DỰ PHÒNG NGÂN SÁCH</t>
  </si>
  <si>
    <t>CHI TẠO NGUỒN, ĐIỀU CHỈNH TIỀN LƯƠNG</t>
  </si>
  <si>
    <t>CHI BỔ SUNG CÓ MỤC TIÊU CHO NGÂN SÁCH CẤP DƯỚI (3)</t>
  </si>
  <si>
    <t>VII</t>
  </si>
  <si>
    <t>CHI CHUYỂN NGUỒN SANG NGÂN SÁCH NĂM SAU</t>
  </si>
  <si>
    <t>Ghi chú:  - Theo quy định tại Điều 7, Điều 11 và Điều 39 Luật NSNN, Ngân sách huyện, xã không có nhiệm vụ chi nghiên cứu khoa học và công nghệ, chi trả lãi vay, chi bổ sung quỹ dự trữ tài chính.</t>
  </si>
  <si>
    <t xml:space="preserve">       - Chi đầu tư phát triển, chi thường xuyên chi tiết các lĩnh vực theo quy định tại Điều 38 Luật Ngân sách nhà nước.</t>
  </si>
  <si>
    <t>Dự toán</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</si>
  <si>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</si>
  <si>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</si>
  <si>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</si>
  <si>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</si>
  <si>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</si>
  <si>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</si>
  <si>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</si>
  <si>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</si>
  <si>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Trong đó</t>
  </si>
  <si>
    <t>Chi hoạt động của cơ quan quản lý nhà nước, đảng, đoàn thể</t>
  </si>
  <si>
    <t>Chi bảo đảm xã hội</t>
  </si>
  <si>
    <t>Chi đầu tư khác</t>
  </si>
  <si>
    <t>Chi giao thông</t>
  </si>
  <si>
    <t>18=2/1</t>
  </si>
  <si>
    <t>Chi thường xuyên khác</t>
  </si>
  <si>
    <t>Dự toán được cấp</t>
  </si>
  <si>
    <t>Kinh phí thực hiện trong năm</t>
  </si>
  <si>
    <t>Nguồn còn lại</t>
  </si>
  <si>
    <t>Dự toán đầu năm</t>
  </si>
  <si>
    <t>Chuyển nguồn năm sau</t>
  </si>
  <si>
    <t>Hủy bỏ</t>
  </si>
  <si>
    <t>1=2+3-4</t>
  </si>
  <si>
    <t>6=1-5</t>
  </si>
  <si>
    <t>Dự toán (2)</t>
  </si>
  <si>
    <t>Chi CTMTQG</t>
  </si>
  <si>
    <t>Tên đơn vị (1)</t>
  </si>
  <si>
    <t>Bổ  sung cân đối ngân sách</t>
  </si>
  <si>
    <t>Bổ sung có mục tiêu</t>
  </si>
  <si>
    <t>Gồm</t>
  </si>
  <si>
    <t>Vốn đầu tư để thực hiện các CTMT, nhiệm vụ</t>
  </si>
  <si>
    <t>Vốn sự nghiệp thực hiện các chế độ, chính sách</t>
  </si>
  <si>
    <t>Vốn thực hiện các CTMT quốc gia</t>
  </si>
  <si>
    <t>Vốn ngoài nước</t>
  </si>
  <si>
    <t>Vốn trong nước</t>
  </si>
  <si>
    <t>3=4+5</t>
  </si>
  <si>
    <t>11=12+13</t>
  </si>
  <si>
    <t>17=9/1</t>
  </si>
  <si>
    <t>18=10/2</t>
  </si>
  <si>
    <t>19=11/3</t>
  </si>
  <si>
    <t>20=12/4</t>
  </si>
  <si>
    <t>21=13/5</t>
  </si>
  <si>
    <t>22=14/6</t>
  </si>
  <si>
    <t>23=15/7</t>
  </si>
  <si>
    <t>24=16/8</t>
  </si>
  <si>
    <t>Tổng thu NSĐP</t>
  </si>
  <si>
    <t>Thu NSĐP hưởng theo phân cấp</t>
  </si>
  <si>
    <t>Số bổ sung cân đối từ ngân sách cấp trên</t>
  </si>
  <si>
    <t>Số bổ sung thực hiện cải cách tiền lương</t>
  </si>
  <si>
    <t>Thu chuyển nguồn từ năm trước chuyển sang</t>
  </si>
  <si>
    <t>Thu từ kết dư năm trước</t>
  </si>
  <si>
    <t>STT</t>
  </si>
  <si>
    <t>Đầu tư phát triển</t>
  </si>
  <si>
    <t>Kinh phí sự nghiệp</t>
  </si>
  <si>
    <t>Chia ra</t>
  </si>
  <si>
    <t>Vốn  trong  nước</t>
  </si>
  <si>
    <t>Vốn  ngoài  nước</t>
  </si>
  <si>
    <t xml:space="preserve">                  Chi Chương trình mục tiêu quốc gia ngân sách xã chi tiết đến từng cơ quan, tổ chức.</t>
  </si>
  <si>
    <t>TỔNG HỢP CÁC QUỸ TÀI CHÍNH NHÀ NƯỚC</t>
  </si>
  <si>
    <t>Tên Quỹ</t>
  </si>
  <si>
    <t>Tổng nguồn vốn phát sinh trong năm</t>
  </si>
  <si>
    <t>Tổng sử dụng nguồn vốn trong năm</t>
  </si>
  <si>
    <t>Chênh lệch nguồn trong năm</t>
  </si>
  <si>
    <t>5=2-4</t>
  </si>
  <si>
    <t>9=6-8</t>
  </si>
  <si>
    <t>10=1+6-8</t>
  </si>
  <si>
    <t xml:space="preserve">(KHÔNG BAO GỒM NGUỒN NGÂN SÁCH NHÀ NƯỚC) </t>
  </si>
  <si>
    <t>Nội dung</t>
  </si>
  <si>
    <t>3=2/1</t>
  </si>
  <si>
    <t xml:space="preserve"> Sự nghiệp giáo dục - đào tạo và dạy nghề</t>
  </si>
  <si>
    <t xml:space="preserve"> Sự nghiệp giáo dục </t>
  </si>
  <si>
    <t xml:space="preserve"> Sự nghiệp đào tạo và dạy nghề</t>
  </si>
  <si>
    <t xml:space="preserve"> Sự nghiệp khoa học và công nghệ</t>
  </si>
  <si>
    <t xml:space="preserve"> Sự nghiệp y tế</t>
  </si>
  <si>
    <t xml:space="preserve"> Sự nghiệp văn hóa thông tin</t>
  </si>
  <si>
    <t xml:space="preserve"> Sự nghiệp phát thanh truyền hình</t>
  </si>
  <si>
    <t xml:space="preserve">             (2) Chi các chương trình mục tiêu quốc gia, chương trình 135, dự án trồng mới 5 triệu ha rừng</t>
  </si>
  <si>
    <t xml:space="preserve">             (3) Hộ ngân sách được Thủ tướng Chính phủ giao phải là đơn vị dự toán cấp 1</t>
  </si>
  <si>
    <t>Biểu mẫu số 33</t>
  </si>
  <si>
    <t>KẾ HOẠCH THU DỊCH VỤ CỦA ĐƠN VỊ SỰ NGHIỆP CÔNG NĂM KẾ HOẠCH</t>
  </si>
  <si>
    <t>(KHÔNG BAO GỒM NGUỒN NSNN ĐẶT HÀNG, GIAO NHIỆM VỤ)</t>
  </si>
  <si>
    <t>Ước thực hiện năm hiện hành</t>
  </si>
  <si>
    <t>Kế hoạch</t>
  </si>
  <si>
    <t>- Sự nghiệp giáo dục - đào tạo và dạy nghề</t>
  </si>
  <si>
    <t>- Sự nghiệp y tế</t>
  </si>
  <si>
    <t>-….</t>
  </si>
  <si>
    <t>Các đơn vị do cấp tỉnh quản lý</t>
  </si>
  <si>
    <t>Các đơn vị do cấp huyện quản lý</t>
  </si>
  <si>
    <t>Các đơn vị do cấp xã quản lý</t>
  </si>
  <si>
    <t>Ngân sách cấp huyện</t>
  </si>
  <si>
    <t>Ngân sách xã</t>
  </si>
  <si>
    <t>Ngân sách  huyện</t>
  </si>
  <si>
    <t>Biểu mẫu số 10BS/QT</t>
  </si>
  <si>
    <r>
      <t>Chi đầu tư phát triển</t>
    </r>
    <r>
      <rPr>
        <sz val="12"/>
        <rFont val="Times New Roman"/>
        <family val="1"/>
      </rPr>
      <t xml:space="preserve"> (Không kể chương trình MTQG)</t>
    </r>
  </si>
  <si>
    <r>
      <t>Chi thường xuyên</t>
    </r>
    <r>
      <rPr>
        <sz val="12"/>
        <rFont val="Times New Roman"/>
        <family val="1"/>
      </rPr>
      <t xml:space="preserve"> (Không kể chương trình MTQG)</t>
    </r>
  </si>
  <si>
    <r>
      <t xml:space="preserve">Bổ sung trong năm </t>
    </r>
    <r>
      <rPr>
        <sz val="12"/>
        <rFont val="Times New Roman"/>
        <family val="1"/>
      </rPr>
      <t>(nếu có)</t>
    </r>
  </si>
  <si>
    <r>
      <t xml:space="preserve">Giảm trừ trong năm </t>
    </r>
    <r>
      <rPr>
        <sz val="12"/>
        <rFont val="Times New Roman"/>
        <family val="1"/>
      </rPr>
      <t>(nếu có)</t>
    </r>
  </si>
  <si>
    <r>
      <t>Chi đầu tư phát triển</t>
    </r>
    <r>
      <rPr>
        <sz val="12"/>
        <rFont val="Times New Roman"/>
        <family val="1"/>
      </rPr>
      <t xml:space="preserve"> </t>
    </r>
  </si>
  <si>
    <r>
      <rPr>
        <b/>
        <i/>
        <sz val="12"/>
        <rFont val="Times New Roman"/>
        <family val="1"/>
      </rPr>
      <t>Ghi chú</t>
    </r>
    <r>
      <rPr>
        <i/>
        <sz val="12"/>
        <rFont val="Times New Roman"/>
        <family val="1"/>
      </rPr>
      <t>: (1) Bổ sung từ ngân sách tỉnh chi tiết đến từng huyện; bổ sung từ ngân sách huyện chi tiết đến từng xã.</t>
    </r>
  </si>
  <si>
    <r>
      <t xml:space="preserve"> </t>
    </r>
    <r>
      <rPr>
        <b/>
        <i/>
        <sz val="12"/>
        <rFont val="Times New Roman"/>
        <family val="1"/>
      </rPr>
      <t>Ghi chú</t>
    </r>
    <r>
      <rPr>
        <i/>
        <sz val="12"/>
        <rFont val="Times New Roman"/>
        <family val="1"/>
      </rPr>
      <t>:(1) Chi Chương trình mục tiêu quốc gia ngân sách tỉnh chi tiết đến từng cơ quan, tổ chức và từng huyện. Chi Chương trình mục tiêu quốc gia ngân sách huyện chi tiết đến từng xã.</t>
    </r>
  </si>
  <si>
    <r>
      <t xml:space="preserve">Trong đó: Hỗ trợ từ NSĐP </t>
    </r>
    <r>
      <rPr>
        <sz val="12"/>
        <rFont val="Times New Roman"/>
        <family val="1"/>
      </rPr>
      <t>(nếu có)</t>
    </r>
  </si>
  <si>
    <t>Ngân sách địa phương</t>
  </si>
  <si>
    <t>Ngân sách huyện</t>
  </si>
  <si>
    <t>Chi đầu tư từ nguồn vốn tập trung</t>
  </si>
  <si>
    <t>Chi quốc phòng</t>
  </si>
  <si>
    <t>Chi Giáo dục - đào tạo và dạy nghề</t>
  </si>
  <si>
    <t>Chi Khoa học và công nghệ</t>
  </si>
  <si>
    <t>Chi Y tế, dân số và gia đình</t>
  </si>
  <si>
    <t>Chi Văn hóa thông tin - thể thao</t>
  </si>
  <si>
    <t>Chi Phát thanh, truyền hình, thông tấn</t>
  </si>
  <si>
    <t>Chi Bảo vệ môi trường</t>
  </si>
  <si>
    <t>Chi sự nghiệp kinh tế khác</t>
  </si>
  <si>
    <t>Chi hoạt động của các cơ quan quản lý nhà nước, đảng, đoàn thể</t>
  </si>
  <si>
    <t>Chi Bảo đảm xã hội</t>
  </si>
  <si>
    <t>Chi khác</t>
  </si>
  <si>
    <t>D</t>
  </si>
  <si>
    <t>E</t>
  </si>
  <si>
    <t xml:space="preserve">Văn phòng HĐND và UBND </t>
  </si>
  <si>
    <t>Tư pháp</t>
  </si>
  <si>
    <t>Phòng Tài chính-Kế hoạch</t>
  </si>
  <si>
    <t>Phòng Quản lý đô thị</t>
  </si>
  <si>
    <t>Phòng kinh tế</t>
  </si>
  <si>
    <t>Phòng Giáo dục</t>
  </si>
  <si>
    <t>Phòng y tế</t>
  </si>
  <si>
    <t>Phòng Lao động-TBXH</t>
  </si>
  <si>
    <t>Phòng Văn hóa TT-TT</t>
  </si>
  <si>
    <t>Phòng Tài nguyên-Môi trường</t>
  </si>
  <si>
    <t>Phòng Nội vụ</t>
  </si>
  <si>
    <t>Thanh tra</t>
  </si>
  <si>
    <t>Đài truyền thanh</t>
  </si>
  <si>
    <t>Trung tâm tin học</t>
  </si>
  <si>
    <t>Ban quản lý công trình ĐT</t>
  </si>
  <si>
    <t>Trung tâm bồi dưỡng CT</t>
  </si>
  <si>
    <t>Mặt trận Tổ quốc</t>
  </si>
  <si>
    <t>Đoàn TNCS HCM</t>
  </si>
  <si>
    <t>Hội Liên hiệp phụ nữ</t>
  </si>
  <si>
    <t>Hội Nông dân</t>
  </si>
  <si>
    <t>Hội Cựu chiến binh</t>
  </si>
  <si>
    <t>Hội chữ thập đỏ</t>
  </si>
  <si>
    <t>Hội Người cao tuổi</t>
  </si>
  <si>
    <t>Hội Người mù</t>
  </si>
  <si>
    <t>Hội Đông y</t>
  </si>
  <si>
    <t>Hội Nạn nhân chất độc da cam</t>
  </si>
  <si>
    <t>Hội Bảo trợ người tàn tật và trẻ mồ côi</t>
  </si>
  <si>
    <t>Hội Khuyến học</t>
  </si>
  <si>
    <t>Nhà thiếu nhi</t>
  </si>
  <si>
    <t>Công an</t>
  </si>
  <si>
    <t>Ban Chỉ huy Quân sự</t>
  </si>
  <si>
    <t>Ban Quản lý Chợ</t>
  </si>
  <si>
    <t>Ban Quản lý dư án và phát triển quỹ đất</t>
  </si>
  <si>
    <t>Chi nộp nhân sách cấp trên</t>
  </si>
  <si>
    <t xml:space="preserve">Các nhiệm vụ chi khác </t>
  </si>
  <si>
    <t>Trung tâm văn hóa TT</t>
  </si>
  <si>
    <t>Đội quản lý trật tự đô thị</t>
  </si>
  <si>
    <t>Kinh phí quy hoạch</t>
  </si>
  <si>
    <t>Kinh phí bù miễn thu thủy lợi phí, hỗ trợ thực hiện Nghị định 35/2015/NĐ-CP ngày 13/4/2015 của Chính phủ</t>
  </si>
  <si>
    <t>Kinh phí mua sắm tài sản</t>
  </si>
  <si>
    <t>Các đơn vị xã, phường</t>
  </si>
  <si>
    <t>QUYẾT TOÁN CHI THƯỜNG XUYÊN CỦA NGÂN SÁCH CẤP HUYỆN</t>
  </si>
  <si>
    <t>Phòng Lao động-TB&amp;XH</t>
  </si>
  <si>
    <t>Tất toán công trình</t>
  </si>
  <si>
    <t>Tất toán công trình đầu tư</t>
  </si>
  <si>
    <t>Chi văn hóa thông tin - Thể thao</t>
  </si>
  <si>
    <t>Bổ sung ngân sách cấp dưới</t>
  </si>
  <si>
    <t>Chi nông nghiệp, lâm, thủy lợi, công nghiệp</t>
  </si>
  <si>
    <t>TỔNG HỢP QUYẾT TOÁN CHI THƯỜNG XUYÊN NGÂN SÁCH CẤP HUYỆN</t>
  </si>
  <si>
    <t xml:space="preserve">QUYẾT TOÁN CHI NGÂN SÁCH ĐỊA PHƯƠNG, CHI NGÂN SÁCH CẤP HUYỆN </t>
  </si>
  <si>
    <t>Phòng Văn hóa TT</t>
  </si>
  <si>
    <t>Chuyển nguồn</t>
  </si>
  <si>
    <t>UBND phường 1</t>
  </si>
  <si>
    <t>UBND phường 2</t>
  </si>
  <si>
    <t>UBND phường 3</t>
  </si>
  <si>
    <t>UBND phường 4</t>
  </si>
  <si>
    <t>UBND xã Tân Khánh Đông</t>
  </si>
  <si>
    <t>UBND xã Tân Phú Đông</t>
  </si>
  <si>
    <t>UBND phường Tân Quy Đông</t>
  </si>
  <si>
    <t>UBND xã Tân Quy Tây</t>
  </si>
  <si>
    <t>UBND phường An Hòa</t>
  </si>
  <si>
    <t xml:space="preserve">                 ỦY BAN NHÂN DÂN</t>
  </si>
  <si>
    <t>THÀNH PHỐ SA ĐÉC</t>
  </si>
  <si>
    <t>BÁO CÁO QUYẾT TOÁN CÁC NGUỒN VỐN ĐẦU TƯ THUỘC NSNN</t>
  </si>
  <si>
    <t>Niên độ ngân sách năm 2017</t>
  </si>
  <si>
    <r>
      <rPr>
        <i/>
        <u val="singleAccounting"/>
        <sz val="10"/>
        <rFont val="Times New Roman"/>
        <family val="1"/>
      </rPr>
      <t>Đơn vị tính</t>
    </r>
    <r>
      <rPr>
        <i/>
        <sz val="10"/>
        <rFont val="Times New Roman"/>
        <family val="1"/>
      </rPr>
      <t>: Triệu đồng</t>
    </r>
  </si>
  <si>
    <t>Số TT</t>
  </si>
  <si>
    <t>Địa điểm mở tài khoản</t>
  </si>
  <si>
    <t>Mã dự án đầu tư</t>
  </si>
  <si>
    <t>Tổng mức đầu tư</t>
  </si>
  <si>
    <t xml:space="preserve">Lũy kế vốn thanh toán từ K/C đến hết niên độ năm trước </t>
  </si>
  <si>
    <t>Số vốn tạm ứng theo chế độ chưa thu hồi của các năm trước nộp điều chỉnh giảm trong năm 2017</t>
  </si>
  <si>
    <t>Thanh toán KLHT trong năm của phần vốn tạm ứng theo chế độ chưa thu hồi từ K/C đến hết niên độ ngân sách năm trước 2016</t>
  </si>
  <si>
    <t>Kế hoạch và thanh toán vốn đầu tư các năm trước được kéo dài thời gian thực hiện và thanh toán trong năm 2016</t>
  </si>
  <si>
    <t>Kế hoạch và thanh toán vốn đầu tư năm 2017</t>
  </si>
  <si>
    <t>Tổng cộng vốn đã thanh toán KLHT quyết toán trong năm 2017(2)</t>
  </si>
  <si>
    <t>Lũy kế số vốn tạm ứng theo chế độ chưa thu hồi đến hết năm quyết toán chuyển sang các năm sau quyết toán (3)</t>
  </si>
  <si>
    <t>Lũy kế số vốn đã thanh toán từ K/C đến hết năm 2017(4)</t>
  </si>
  <si>
    <t>Chủ đầu tư</t>
  </si>
  <si>
    <t>Kế hoạch vốn được kéo dài</t>
  </si>
  <si>
    <t>Thanh toán</t>
  </si>
  <si>
    <t>Kế hoạch vốn được phép kéo dài sang năm sau (nếu có)</t>
  </si>
  <si>
    <t>Số vốn còn lại chưa thanh toán hủy bỏ (nếu có)</t>
  </si>
  <si>
    <t>Kế hoạch vốn đầu tư năm 2017</t>
  </si>
  <si>
    <t>Tr. đó: vốn tạm ứng theo chế độ chưa thu hồi (1)</t>
  </si>
  <si>
    <t>Số vốn thanh toán KLHT</t>
  </si>
  <si>
    <t>Số vốn tạm ứng theo chế độ chưa thu hồi</t>
  </si>
  <si>
    <t>tạm ứng</t>
  </si>
  <si>
    <t>giải ngân</t>
  </si>
  <si>
    <t>15=10-11-14</t>
  </si>
  <si>
    <t>17=18+19</t>
  </si>
  <si>
    <t>21=16-17-20</t>
  </si>
  <si>
    <t>22=9+12+18</t>
  </si>
  <si>
    <t>23=7-8-9+13+19</t>
  </si>
  <si>
    <t>24=6+11+17</t>
  </si>
  <si>
    <t>TỔNG SỐ (A+B+C+D)</t>
  </si>
  <si>
    <t>VỐN NSNN:</t>
  </si>
  <si>
    <t>A.1</t>
  </si>
  <si>
    <t>Các dự án thuộc kế hoạch năm 2017</t>
  </si>
  <si>
    <t xml:space="preserve">Vốn Ngân sách tập trung đầu tư theo ngành, lĩnh vực: </t>
  </si>
  <si>
    <t>Vốn Chuẩn bị đầu tư</t>
  </si>
  <si>
    <t xml:space="preserve"> - Giáo dục Đào tạo</t>
  </si>
  <si>
    <t xml:space="preserve"> - Thể thao</t>
  </si>
  <si>
    <t xml:space="preserve"> - Văn hóa xã hội</t>
  </si>
  <si>
    <t xml:space="preserve"> - Thương mại du lịch</t>
  </si>
  <si>
    <t xml:space="preserve"> - Giao thông</t>
  </si>
  <si>
    <t>Đường rạch Trâm Bầu</t>
  </si>
  <si>
    <t>KBSĐ</t>
  </si>
  <si>
    <t>Mở rộng đường rạch Chùa bờ phải ( ĐT 848- Trường tiểu học Tân An)</t>
  </si>
  <si>
    <t>Mở rộng đường rạch Chùa bờ trái ( ĐT 848- Trường MG Tân An )</t>
  </si>
  <si>
    <t>Đường Phạm Hữu Lầu (nối dài)</t>
  </si>
  <si>
    <t xml:space="preserve"> - Cấp nước và dịch vụ công cộng</t>
  </si>
  <si>
    <t xml:space="preserve"> - Xử lý nước thải</t>
  </si>
  <si>
    <t xml:space="preserve"> - An ninh quốc phòng</t>
  </si>
  <si>
    <t xml:space="preserve"> - Quản lý nhà nước</t>
  </si>
  <si>
    <t xml:space="preserve"> - Nông lâm thủy lợi</t>
  </si>
  <si>
    <t>Vốn Thực hiện dự án</t>
  </si>
  <si>
    <t>Trường Tiểu học Hòa Khánh</t>
  </si>
  <si>
    <t>Trường Mầm non Hoa Mai</t>
  </si>
  <si>
    <t>Trường tiểu học Tân Khánh Đông 1 (gđ 2)</t>
  </si>
  <si>
    <t>Khu quy hoạch văn hóa thể thao P2</t>
  </si>
  <si>
    <t>Cụm dân cư Tân Khánh Đông (KDC Đông Qưới - phần sinh lợi)</t>
  </si>
  <si>
    <t>Khu dân cư ngân hàng nông nghiệp</t>
  </si>
  <si>
    <t xml:space="preserve"> Chợ cá Sa Đéc (vốn dân 50%, nhà nước 50%)</t>
  </si>
  <si>
    <t xml:space="preserve"> Chợ Nông sản thành phố (vốn dân 50%, nhà nước 50%)</t>
  </si>
  <si>
    <t>Hạ tầng phát triển du lịch thành phố Sa Đéc (hạng mục: đường Lê Lợi và đường Ông Thung Cai Dao)- đối ứng vốn tỉnh hỗ trợ</t>
  </si>
  <si>
    <t>Cảnh Quan làng hoa Sa Nhiên - Cai Dao</t>
  </si>
  <si>
    <t>Cảnh quan kè phường 3, phường 4</t>
  </si>
  <si>
    <t>Khu trung tâm mua sắm Phú Mỹ, hạng mục: Đường giao thông từ đường Nguyễn Sinh Sắc đến dự án Tổ Ong vàng và đường Đ-03 (nối từ đường Đ-01 đến đường Đ-02)</t>
  </si>
  <si>
    <t>Đường Đình (từ ĐT 848 đến cầu Đình)</t>
  </si>
  <si>
    <t>Đường Xẻo Gừa bờ trái</t>
  </si>
  <si>
    <t>Bờ bao kết hợp đường Cồn Sậy</t>
  </si>
  <si>
    <t>Đường Nguyễn Sinh Sắc (Hùng Vương-ĐT 848)</t>
  </si>
  <si>
    <t>Đường chùa giáp ranh huyện Châu Thành</t>
  </si>
  <si>
    <t>Đường Cao Mên dưới (đoạn từ cầu Ba Dớn - chùa Linh Nguyên</t>
  </si>
  <si>
    <t>Đường Xếp Mương Đào</t>
  </si>
  <si>
    <t>Cầu cảnh làng hoa</t>
  </si>
  <si>
    <t>Mở rộng đường rạch Chùa bờ trái ( ĐT 848- cầu Ba Nhạn)</t>
  </si>
  <si>
    <t>Cầu Rạch Bà Điếc</t>
  </si>
  <si>
    <t>Đường từ Nguyễn Sinh Sắc đến Khu Liên hợp thể dục thể thao</t>
  </si>
  <si>
    <t>Lát vỉa hè đường Trần Thị Nhượng (đoạn từ đường Trần Hưng Đạo đến đường Nguyễn Tất Thành)</t>
  </si>
  <si>
    <t xml:space="preserve"> Mở rộng đường rạch Chùa bờ phải ( ĐT 848- cầu Hai Đường)</t>
  </si>
  <si>
    <t>Đường rạch Cao Mên (từ ĐT 852 đến cầu Miễu)</t>
  </si>
  <si>
    <t>Mở rộng đường cặp rạch Nàng Hai ( từ cầu Hồ Tùng Mậu- chùa Tây Hưng)</t>
  </si>
  <si>
    <t>Mở rộng đường Ngã Cạy bờ trái</t>
  </si>
  <si>
    <t>Mở rộng Hẽm số 11-P4</t>
  </si>
  <si>
    <t>Nâng cấp đường Nguyễn Huệ (đoạn từ Cầu Cái Sơn 1 đến cầu Sắt)</t>
  </si>
  <si>
    <t>Cầu Tư Ú</t>
  </si>
  <si>
    <t>San lấp mặt bằng đường Trần Thị Nhượng (giai đoạn 3)</t>
  </si>
  <si>
    <t>Đường nội bộ Khu trung tâm thương mai thành phố Sa Đéc - Đoạn đấu nối Đường số 03 với đường Lý Thường Kiệt</t>
  </si>
  <si>
    <t>Đường Thông Lưu bờ trái</t>
  </si>
  <si>
    <t>Đường Hùng vương nối dài (từ cầu rạch Rắn - vòng xoay QL80-Phú Hòa)</t>
  </si>
  <si>
    <t>Đường Ngã Bát bờ trái</t>
  </si>
  <si>
    <t>Hạ tầng khu nghĩa trang nhân dân (gđ1)</t>
  </si>
  <si>
    <t>HT điện hạ thế phường Tân Quy Đông</t>
  </si>
  <si>
    <t>HT điện hạ thế xã Tân Phú Đông</t>
  </si>
  <si>
    <t>HT điện hạ thế xã Tân Khánh Đông</t>
  </si>
  <si>
    <t>Lưới điện hạ thế Cai Dao-Năm Phương</t>
  </si>
  <si>
    <t>Hệ thống nước sạch xã Tân Phú Đông (Tuyến D114 hai bên đường ĐT 853 ( từ Chùa Liên Hoa- cầu Bà Nhiên)+ Tuyến D60 đ. Xẽo Tre bờ phải ( cầu Sáu Diện 2- cuối đ.Sáu Diện Ba làng)</t>
  </si>
  <si>
    <t>Tuyến cấp nước bờ  trái đường QL 80 ( cầu Đốc Phủ Hiền- cầu Đội Thơ)</t>
  </si>
  <si>
    <t>Hạ thế điện tuyến tránh QL80 ( bờ trái)</t>
  </si>
  <si>
    <t>Hạ thế điện TPĐ: Điện Xẽo Gừa bờ trái+ điện Xẽo Gừa- Bà Phủ+ điện Xẽo Gừa -An Hòa.</t>
  </si>
  <si>
    <t xml:space="preserve"> Hạ thế điện đường Ô bao tập đoàn 9 (vàm bà Chủ - vàm Cai Khoa).</t>
  </si>
  <si>
    <t>Hạ thế điện P.An Hòa: điện hẽm R. Chùa+ Điện hẽm Ba Nhanh+điện hẽm chùa Tây Hưng</t>
  </si>
  <si>
    <t>Hạ thế điện tuyến Năm Nghi - Ba Làng</t>
  </si>
  <si>
    <t xml:space="preserve"> Hạ thế điện xã TQT: Tuyến điện Cao Mên trên (cầu Cao Mên - cầu Miễu)</t>
  </si>
  <si>
    <t>Trụ sở Thành Ủy (hạng mục: kho lưu trữ và nhà ăn)</t>
  </si>
  <si>
    <t xml:space="preserve"> Trụ sở UBND TP Sa Đéc (nhà làm việc bộ phận tiếp nhận hồ sơ và trả kết quả)</t>
  </si>
  <si>
    <t>Trung tâm văn hóa học tập cộng đồng TKĐ</t>
  </si>
  <si>
    <t xml:space="preserve">Trụ sở UBND phường 4 </t>
  </si>
  <si>
    <t>Khu hành chính UBND thành phố Sa Đéc, hạng mục: Cải tạo, sửa chữa</t>
  </si>
  <si>
    <t>Mở rộng nâng cấp Trụ sở UBND phường Tân Quy Đông</t>
  </si>
  <si>
    <t>Vốn dự phòng chưa phân bổ</t>
  </si>
  <si>
    <t>Vốn CTMT QG:</t>
  </si>
  <si>
    <t>Chương trình MTQG...</t>
  </si>
  <si>
    <t>Dự án...</t>
  </si>
  <si>
    <t>Vốn CTMT:</t>
  </si>
  <si>
    <t>Chương trình...</t>
  </si>
  <si>
    <t>Vốn từ nguồn thu tiền sử dụng đất:</t>
  </si>
  <si>
    <t>Khu liên hợp thể dục thể thao (hạng mục: hạ tầng, giao thông)</t>
  </si>
  <si>
    <t>Vốn thực hiện đầu tư</t>
  </si>
  <si>
    <t xml:space="preserve"> Trường Tiểu học Phú Mỹ</t>
  </si>
  <si>
    <t>KBSĐ, KBĐT</t>
  </si>
  <si>
    <t>Trường Mầm non Hoa Sen (Sửa chữa, nâng cấp)</t>
  </si>
  <si>
    <t>Khu Liên hợp thể dục thể thao (hạng mục: san lấp MB, bồi hoàn bổ sung)</t>
  </si>
  <si>
    <t>Mở rộng nghĩa trang nhân dân giai đoạn 2</t>
  </si>
  <si>
    <t xml:space="preserve"> Khu Trung tâm mua sắm Phú Mỹ ( đường giao thông từ đường Nguyễn Sinh Sắc đến đường Võ Phát)</t>
  </si>
  <si>
    <t>Cải tạo sửa chữa chợ Sa Đéc</t>
  </si>
  <si>
    <t xml:space="preserve">Cầu +Đường Tôn Đức Thắng nối dài </t>
  </si>
  <si>
    <t>Đường Nguyễn Tất Thành nối dài ( từ Đ.NSS - rạch Ngã Bát)</t>
  </si>
  <si>
    <t xml:space="preserve"> Đường nối cảnh quan kè sông Tiền, khu dân cư khóm 3 với đường dẫn bến phà</t>
  </si>
  <si>
    <t>Bãi đỗ xe làng hoa ( Bồi thường + chi phí chuẩn bị đầu tư)</t>
  </si>
  <si>
    <t>Hội trường thành phố Sa Đéc</t>
  </si>
  <si>
    <t>Vốn chưa phân bổ</t>
  </si>
  <si>
    <t>Vốn NSNN khác:</t>
  </si>
  <si>
    <t xml:space="preserve">Vốn Tỉnh hỗ trợ xã nông thôn mới </t>
  </si>
  <si>
    <t>Giao thông</t>
  </si>
  <si>
    <t>Vốn vay kiên cố hóa giao thông nông thôn</t>
  </si>
  <si>
    <t>Vốn tập trung của tỉnh hỗ trợ cho thành phố Sa Đéc</t>
  </si>
  <si>
    <t>Thương mại du lịch</t>
  </si>
  <si>
    <t>Quản lý nhà nước</t>
  </si>
  <si>
    <t>Vốn tăng thu xổ số kiến thiết của tỉnh hỗ trợ cho thành phố Sa Đéc</t>
  </si>
  <si>
    <t>A.2</t>
  </si>
  <si>
    <t>Các dự án không ghi kế hoạch năm 2017 còn dư vốn tạm ứng chưa thu hồi từ các năm trước chuyển sang năm 2018:</t>
  </si>
  <si>
    <t>Vốn Ngân sách tập trung đầu tư theo ngành, lĩnh vực:</t>
  </si>
  <si>
    <t>Vốn nước ngoài</t>
  </si>
  <si>
    <t>Chương trình MTQG….</t>
  </si>
  <si>
    <t>Dự án….</t>
  </si>
  <si>
    <t>Chương trình…</t>
  </si>
  <si>
    <t>Vốn Tỉnh hỗ trợ</t>
  </si>
  <si>
    <t>VỐN TRÁI PHIẾU CHÍNH PHỦ:</t>
  </si>
  <si>
    <t>B.1</t>
  </si>
  <si>
    <t>Các dự án thuộc kế hoạch năm 20…:</t>
  </si>
  <si>
    <t>Ngành giao thông</t>
  </si>
  <si>
    <t>Dự án…</t>
  </si>
  <si>
    <t>Ngành thủy lợi</t>
  </si>
  <si>
    <t>Ngành….</t>
  </si>
  <si>
    <t>B.2</t>
  </si>
  <si>
    <t>Các dự án không ghi kế hoạch năm 20… còn dư vốn tạm ứng chưa thu hồi từ những năm trước chuyển sang năm 20…:</t>
  </si>
  <si>
    <t>VỐN TRÁI PHIẾU CHÍNH QUYỀN ĐỊA PHƯƠNG:</t>
  </si>
  <si>
    <t>NGUỒN VỐN ĐẦU TƯ THUỘC NSNN KHÁC (nếu có):</t>
  </si>
  <si>
    <t>Nguồn vốn…</t>
  </si>
  <si>
    <t>Sa Đéc, ngày ….. tháng ….. năm 2018</t>
  </si>
  <si>
    <t>NGƯỜI LẬP BIỂU</t>
  </si>
  <si>
    <t>TRƯỞNG PHÒNG TC-KH</t>
  </si>
  <si>
    <t>TM.ỦY BAN NHÂN DÂN</t>
  </si>
  <si>
    <t>CHỦ TỊCH</t>
  </si>
  <si>
    <t>Trương Văn Hiếu</t>
  </si>
  <si>
    <t>Bồi thường đường Nguyễn Sinh Sắc (đền bù, bồi thường)</t>
  </si>
  <si>
    <t>Khu dân cư nhà ở xã hội Tân Phú Đông (Phú Hòa)</t>
  </si>
  <si>
    <t>Nghĩa trang liệt sĩ (sân đan, cống thoát nước)</t>
  </si>
  <si>
    <t>Đường cặp rạch Nàng Hai cây me (HTM-TTN)</t>
  </si>
  <si>
    <t>Đường nối từ trường Nguyễn Đình Chiểu đến KDC Phú Long</t>
  </si>
  <si>
    <t>Đường HV nối dài (KS Sa Đéc-Nguyễn Văn Phát)</t>
  </si>
  <si>
    <t>Đường Sáu Diện Ba Làng</t>
  </si>
  <si>
    <t>HT điện thế xã Tân Phú Đông ( đường tránh QL 80- bên phải)</t>
  </si>
  <si>
    <t>Hạ thế điện TKĐ: đường Kênh Lắp (ĐT 848 - Cái Bè-Cái Khoa)+ đường kênh Cao Thái Hương dd2 + Tuyến cồn cát + tuyến Sáu Hồng + Tuyến Ba Nhỏ + Tuyến Mương Khai bờ phải</t>
  </si>
  <si>
    <t>Khu dân cư khóm 3, phường 2 B</t>
  </si>
  <si>
    <t>Mở rộng kho lưu trữ UBND thành phố Sa Đéc</t>
  </si>
  <si>
    <t>Kè phường 2</t>
  </si>
  <si>
    <t>Kè phường 4</t>
  </si>
  <si>
    <t>Kè Lưu Văn Lang</t>
  </si>
  <si>
    <t>Trường tiểu học Tân Khánh Đông 1 (gđ 2)</t>
  </si>
  <si>
    <t>Cầu Rạch Rắn (có vốn tỉnh 9 tỷ)</t>
  </si>
  <si>
    <t>Nâng cấp quảng trường trước và sau tượng Bác Hồ</t>
  </si>
  <si>
    <t>Không phát sinh</t>
  </si>
  <si>
    <t>Chi dự phòng</t>
  </si>
  <si>
    <t>Chi chuyển nguồn năm sau</t>
  </si>
  <si>
    <t>Các nhiệm chi còn lại</t>
  </si>
  <si>
    <t>Chương trình mục tiêu quốc gia xây dựng nông thôn mới</t>
  </si>
  <si>
    <t>14=4/1</t>
  </si>
  <si>
    <t>15=5/2</t>
  </si>
  <si>
    <t>16=6/3</t>
  </si>
  <si>
    <t>Học phí</t>
  </si>
  <si>
    <t>+</t>
  </si>
  <si>
    <t>Thu khác</t>
  </si>
  <si>
    <r>
      <t xml:space="preserve">Dư nguồn đến ngày 31/12/2017 </t>
    </r>
    <r>
      <rPr>
        <sz val="12"/>
        <rFont val="Times New Roman"/>
        <family val="1"/>
      </rPr>
      <t>(năm trước)</t>
    </r>
  </si>
  <si>
    <t xml:space="preserve">Nội dung </t>
  </si>
  <si>
    <t>CHI BỔ SUNG CẤP TỈNH CHO HUYỆN</t>
  </si>
  <si>
    <t>CHI BỔ SUNG CẤP HUYỆN CHO XÃ</t>
  </si>
  <si>
    <t>Thành phố Sa Đéc</t>
  </si>
  <si>
    <t>THU CẤP HUYỆN</t>
  </si>
  <si>
    <t>THU CẤP XÃ</t>
  </si>
  <si>
    <t>CHI NGÂN SÁCH CẤP HUYỆN</t>
  </si>
  <si>
    <t>CHI NGÂN SÁCH CẤP XÃ</t>
  </si>
  <si>
    <t>Chi giáo dục đào tạo dạy nghề</t>
  </si>
  <si>
    <t>Chi khoa học công nghệ</t>
  </si>
  <si>
    <t>18=5/1</t>
  </si>
  <si>
    <t>19=6/2</t>
  </si>
  <si>
    <t>20=10/3</t>
  </si>
  <si>
    <t>Kế hoạch năm 2018</t>
  </si>
  <si>
    <t>Thực hiện năm 2018</t>
  </si>
  <si>
    <t>TỔNG HỢP THU DỊCH VỤ CỦA ĐƠN VỊ SỰ NGHIỆP CÔNG NĂM 2018</t>
  </si>
  <si>
    <t>NGOÀI NGÂN SÁCH DO ĐỊA PHƯƠNG QUẢN LÝ NĂM 2018</t>
  </si>
  <si>
    <t xml:space="preserve">Dư nguồn đến ngày 31/12/2018 </t>
  </si>
  <si>
    <t>QUYẾT TOÁN CHI CHƯƠNG TRÌNH MỤC TIÊU QUỐC GIA NĂM 2018</t>
  </si>
  <si>
    <t>QUYẾT TOÁN THU NGÂN SÁCH HUYỆN XÃ NĂM 2018</t>
  </si>
  <si>
    <t>QUYẾT TOÁN CHI BỔ SUNG TỪ NGÂN SÁCH CẤP TỈNH (HUYỆN) CHO NGÂN SÁCH TỪNG HUYỆN (XÃ) NĂM 2018</t>
  </si>
  <si>
    <t>QUYẾT TOÁN CHI NGÂN SÁCH ĐỊA PHƯƠNG TỪNG HUYỆN (XÃ) NĂM 2018</t>
  </si>
  <si>
    <t xml:space="preserve"> CỦA TỪNG CƠ QUAN, TỔ CHỨC THEO NGUỒN VỐN NĂM 2018</t>
  </si>
  <si>
    <t>CHO TỪNG CƠ QUAN, TỔ CHỨC THEO LĨNH VỰC NĂM 2018</t>
  </si>
  <si>
    <t xml:space="preserve">QUYẾT TOÁN CHI ĐẦU TƯ PHÁT TRIỂN CỦA NGÂN SÁCH CẤP HUYỆN </t>
  </si>
  <si>
    <t>QUYẾT TOÁN CHI NGÂN SÁCH CẤP HUYỆN CHO TỪNG CƠ QUAN, TỔ CHỨC THEO LĨNH VỰC NĂM 2018</t>
  </si>
  <si>
    <t>VÀ CHI NGÂN SÁCH XÃ THEO CƠ CẤU CHI NĂM 2018</t>
  </si>
  <si>
    <t>So sánh</t>
  </si>
  <si>
    <t>Tuyệt đối</t>
  </si>
  <si>
    <t>Tương đối (%)</t>
  </si>
  <si>
    <t>3=2-1</t>
  </si>
  <si>
    <t>4=2/1</t>
  </si>
  <si>
    <t>CHI BỔ SUNG CÂN ĐỐI CHO NGÂN SÁCH CẤP DƯỚI (1)</t>
  </si>
  <si>
    <t>Chi giáo dục - đào tạo và dạy nghề</t>
  </si>
  <si>
    <t>Chi khoa học và công nghệ (2)</t>
  </si>
  <si>
    <t>Chi trả nợ lãi các khoản do chính quyền địa phương vay (2)</t>
  </si>
  <si>
    <t>CHI CHUYỂN NGUỒN SANG NĂM SAU</t>
  </si>
  <si>
    <t>Nội dung (1)</t>
  </si>
  <si>
    <t>TỔNG CHI NGÂN SÁCH ĐỊA PHƯƠNG</t>
  </si>
  <si>
    <t>CHI CÂN ĐỐI NGÂN SÁCH ĐỊA PHƯƠNG</t>
  </si>
  <si>
    <t xml:space="preserve">Chi đầu tư cho các dự án </t>
  </si>
  <si>
    <t>Chi bổ sung quỹ dự trữ tài chính</t>
  </si>
  <si>
    <t>(Chi tiết theo từng Chương trình mục tiêu quốc gia)</t>
  </si>
  <si>
    <t xml:space="preserve">Chi các chương trình mục tiêu, nhiệm vụ </t>
  </si>
  <si>
    <t>(Chi tiết theo từng chương trình mục tiêu, nhiệm vụ)</t>
  </si>
  <si>
    <t>QUYẾT TOÁN CHI NGÂN SÁCH ĐỊA PHƯƠNG THEO LĨNH VỰC NĂM 2018</t>
  </si>
  <si>
    <r>
      <t xml:space="preserve">Ghi chú: </t>
    </r>
    <r>
      <rPr>
        <i/>
        <sz val="10"/>
        <color indexed="8"/>
        <rFont val="Times New Roman"/>
        <family val="1"/>
      </rPr>
      <t>(1) Theo quy định tại Điều 7, Điều 11 và Điều 39 Luật NSNN, ngân sách huyện, xã không có nhiệm vụ chi nghiên cứu khoa học và công nghệ, chi trả lãi vay, chi bổ sung quỹ dự trữ tài chính.</t>
    </r>
  </si>
  <si>
    <t>TỔNG NGUỒN THU NSĐP</t>
  </si>
  <si>
    <t>Thu NSĐP được hưởng theo phân cấp</t>
  </si>
  <si>
    <t>Thu NSĐP hưởng 100%</t>
  </si>
  <si>
    <t>Thu NSĐP hưởng từ các khoản thu phân chia</t>
  </si>
  <si>
    <t xml:space="preserve">Thu bổ sung từ ngân sách cấp trên </t>
  </si>
  <si>
    <t>Thu bổ sung cân đối ngân sách</t>
  </si>
  <si>
    <t>Thu bổ sung có mục tiêu</t>
  </si>
  <si>
    <t>Thu từ quỹ dự trữ tài chính</t>
  </si>
  <si>
    <t>Thu kết dư</t>
  </si>
  <si>
    <t xml:space="preserve">Tổng chi cân đối NSĐP </t>
  </si>
  <si>
    <t>Chi các chương trình mục tiêu</t>
  </si>
  <si>
    <t>Chi chuyển nguồn sang năm sau</t>
  </si>
  <si>
    <t>BỘI CHI NSĐP/BỘI THU NSĐP/KẾT DƯ NSĐP</t>
  </si>
  <si>
    <t>CHI TRẢ NỢ GỐC CỦA NSĐP</t>
  </si>
  <si>
    <t>Từ nguồn vay để trả nợ gốc</t>
  </si>
  <si>
    <t>Từ nguồn bội thu, tăng thu, tiết kiệm chi, kết dư ngân sách cấp tỉnh</t>
  </si>
  <si>
    <t>TỔNG MỨC VAY CỦA NSĐP</t>
  </si>
  <si>
    <t>Vay để bù đắp bội chi</t>
  </si>
  <si>
    <t>Vay để trả nợ gốc</t>
  </si>
  <si>
    <t>G</t>
  </si>
  <si>
    <t>TỔNG MỨC DƯ NỢ VAY CUỐI NĂM CỦA NSĐP</t>
  </si>
  <si>
    <t>QUYẾT TOÁN CÂN ĐỐI NGÂN SÁCH ĐỊA PHƯƠNG NĂM 2018</t>
  </si>
  <si>
    <r>
      <t xml:space="preserve">Ghi chú: </t>
    </r>
    <r>
      <rPr>
        <i/>
        <sz val="12"/>
        <color indexed="8"/>
        <rFont val="Times New Roman"/>
        <family val="1"/>
      </rPr>
      <t>(1) Theo quy định tại Điều 7, Điều 11 và Điều 39 Luật NSNN, ngân sách huyện, xã không có nhiệm vụ chi nghiên cứu khoa học và công nghệ, trả lãi vay, chi bổ sung quỹ dự trữ tài chính, bội chi NSĐP, vay và trả nợ gốc vay.</t>
    </r>
  </si>
  <si>
    <t>Nguồn thu ngân sách</t>
  </si>
  <si>
    <t>Thu ngân sách được hưởng theo phân cấp</t>
  </si>
  <si>
    <t>Thu bổ sung từ ngân sách cấp trên</t>
  </si>
  <si>
    <t>Bổ sung cân đối ngân sách</t>
  </si>
  <si>
    <t>Thu từ quỹ dự trữ tài chính (1)</t>
  </si>
  <si>
    <t>Chi ngân sách</t>
  </si>
  <si>
    <t>Chi bổ sung cho ngân sách cấp dưới</t>
  </si>
  <si>
    <t>Chi bổ sung cân đối ngân sách</t>
  </si>
  <si>
    <t>Chi bổ sung có mục tiêu</t>
  </si>
  <si>
    <t>Chi trả nợ gốc từ nguồn bội thu, tăng thu, tiết kiệm, kết dư ngân sách cấp tỉnh (1)</t>
  </si>
  <si>
    <t>Bội chi NSĐP/Kết dư NSĐP (1)</t>
  </si>
  <si>
    <t>Chi bổ sung cho ngân sách cấp dưới (2)</t>
  </si>
  <si>
    <t>Kết dư</t>
  </si>
  <si>
    <t>(2) Ngân sách xã không có nhiệm vụ chi bổ sung cho ngân sách cấp dưới.</t>
  </si>
  <si>
    <r>
      <t xml:space="preserve">Ghi chú: </t>
    </r>
    <r>
      <rPr>
        <i/>
        <sz val="12"/>
        <color indexed="8"/>
        <rFont val="Times New Roman"/>
        <family val="1"/>
      </rPr>
      <t>(1) Theo quy định tại Điều 7, Điều 11 Luật NSNN, ngân sách huyện không có thu từ quỹ dự trữ tài chính, chi trả nợ gốc và bội chi NSĐP.</t>
    </r>
  </si>
  <si>
    <t>Tổng thu NSNN</t>
  </si>
  <si>
    <t>Thu NSĐP</t>
  </si>
  <si>
    <t>5=3/1</t>
  </si>
  <si>
    <t>6=4/2</t>
  </si>
  <si>
    <t>TỔNG NGUỒN THU NSNN (A+B+C+D)</t>
  </si>
  <si>
    <t>TỔNG THU CÂN ĐỐI NSNN</t>
  </si>
  <si>
    <t>Thu nội địa</t>
  </si>
  <si>
    <t>(Chi tiết theo sắc thuế)</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</si>
  <si>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</si>
  <si>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</si>
  <si>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</si>
  <si>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</si>
  <si>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</si>
  <si>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</si>
  <si>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</si>
  <si>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tỉnh</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</si>
  <si>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</si>
  <si>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</si>
  <si>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</si>
  <si>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</si>
  <si>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</si>
  <si>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</si>
  <si>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</si>
  <si>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</si>
  <si>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</si>
  <si>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</si>
  <si>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</si>
  <si>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(5)</t>
  </si>
  <si>
    <t>Lợi nhuận được chia của Nhà nước và lợi nhuận sau thuế còn lại sau khi trích lập các quỹ của doanh nghiệp nhà nước (5)</t>
  </si>
  <si>
    <t>Chênh lệch thu chi Ngân hàng Nhà nước (5)</t>
  </si>
  <si>
    <t>Thu từ dầu thô</t>
  </si>
  <si>
    <t xml:space="preserve">Thu từ hoạt động xuất nhập khẩu </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</si>
  <si>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</si>
  <si>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</si>
  <si>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</si>
  <si>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</si>
  <si>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</si>
  <si>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viện trợ</t>
  </si>
  <si>
    <t>THU TỪ QUỸ DỰ TRỮ TÀI CHÍNH</t>
  </si>
  <si>
    <t>THU KẾT DƯ NĂM TRƯỚC</t>
  </si>
  <si>
    <t>THU CHUYỂN NGUỒN TỪ NĂM TRƯỚC CHUYỂN SANG</t>
  </si>
  <si>
    <t>Thu từ khu vực DNNN do trung ương quản lý (1) (Chi tiết theo sắc thuế)</t>
  </si>
  <si>
    <t>Thu từ khu vực DNNN do địa phương quản lý (2) (Chi tiết theo sắc thuế)</t>
  </si>
  <si>
    <t>Thu từ khu vực doanh nghiệp có vốn đầu tư nước ngoài (Chi tiết theo sắc thuế)</t>
  </si>
  <si>
    <t>Thu từ khu vực kinh tế ngoài quốc doanh (4) (Chi tiết theo sắc thuế)</t>
  </si>
  <si>
    <t>Ghi chú:</t>
  </si>
  <si>
    <t>(1) Doanh nghiệp nhà nước do trung ương quản lý là doanh nghiệp do bộ, cơ quan ngang bộ, cơ quan thuộc Chính phủ, 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</si>
  <si>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</si>
  <si>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(3) Doanh nghiệp có vốn đầu tư nước ngoài là các doanh nghiệp mà phần vốn do tổ chức, cá nhân nước ngoài sở hữu từ 51% vốn điều lệ trở lên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</si>
  <si>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 trừ các doanh nghiệp nhà nước do trung ương, địa phương quản lý, doanh nghiệp có vốn đầu tư nước ngoài nêu trên.</t>
  </si>
  <si>
    <t>(5) Thu ngân sách nhà nước trên địa bàn, thu ngân sách địa phương cấp huyện, xã không có thu từ cổ tức, lợi nhuận được chia của Nhà nước và lợi nhuận sau thuế còn lại sau khi trích lập các quỹ của doanh nghiệp nhà nước, chênh lệch thu, chi Ngân hàng Nhà nước, thu từ dầu thô, thu từ hoạt động xuất, nhập khẩu. Thu chênh lệch thu, chi Ngân hàng Nhà nước chỉ áp dụng đối với thành phố Hà Nội.</t>
  </si>
  <si>
    <t>QUYẾT TOÁN NGUỒN THU NGÂN SÁCH NHÀ NƯỚC TRÊN ĐỊA BÀN THEO LĨNH VỰC NĂM 2018</t>
  </si>
  <si>
    <t>Dự phòng</t>
  </si>
  <si>
    <t>Chi Văn hóa thông tin</t>
  </si>
  <si>
    <t>Trung tâm VH-TT&amp;TT</t>
  </si>
  <si>
    <t>Các khoản thu để lại đơn vị quản lý qua NSNN</t>
  </si>
  <si>
    <t>Phí thuộc lĩnh vực bến xe, bến tàu</t>
  </si>
  <si>
    <t>Phí khác</t>
  </si>
  <si>
    <t>Các khoản huy động đóng góp</t>
  </si>
  <si>
    <t>NGÂN SÁCH CẤP HUYỆN</t>
  </si>
  <si>
    <t>NGÂN SÁCH XÃ</t>
  </si>
  <si>
    <t>Chi thuộc nhiệm vụ của ngân sách cấp huyện</t>
  </si>
  <si>
    <t>Chi thuộc nhiệm vụ của ngân sách cấp xã</t>
  </si>
  <si>
    <t>Các khoản thu quản lý qua NSNN</t>
  </si>
  <si>
    <t>Chi nộp ngân sách cấp trên</t>
  </si>
  <si>
    <t>Chi từ nguồn để lại đơn vị quản lý qua NSNN</t>
  </si>
  <si>
    <t>Chi bổ sung ngân sách cấp dưới</t>
  </si>
  <si>
    <t>VIII</t>
  </si>
  <si>
    <t>Chi văn hóa thông tin -thể thao</t>
  </si>
  <si>
    <t xml:space="preserve">Ban chỉ huy quân sự </t>
  </si>
  <si>
    <t>Nguồn dự phòng đầu tư</t>
  </si>
  <si>
    <t>Văn phòng Thành Ủy</t>
  </si>
  <si>
    <t>Có tạm ứng chưa TT khối lượng</t>
  </si>
  <si>
    <t>Dự phòng đầu tư</t>
  </si>
  <si>
    <t>Chi bổ sung NS cấp dưới</t>
  </si>
  <si>
    <t>Chi CCTL</t>
  </si>
  <si>
    <t xml:space="preserve">VIII </t>
  </si>
  <si>
    <t>Chi nộp NS cấp trên</t>
  </si>
  <si>
    <t>CHI NỘP NGÂN SÁCH CẤP TRÊN</t>
  </si>
  <si>
    <t>IX</t>
  </si>
  <si>
    <t>19=4/1</t>
  </si>
  <si>
    <t>20=5/2</t>
  </si>
  <si>
    <t>21=6/3</t>
  </si>
  <si>
    <t>22=15/4</t>
  </si>
  <si>
    <t>Trung tâm Văn hóa TT&amp;TT</t>
  </si>
  <si>
    <t>Phòng Văn hóa &amp; TT</t>
  </si>
  <si>
    <t>Đơn vị: Đồng</t>
  </si>
  <si>
    <t>QUYẾT TOÁN CHI NGÂN SÁCH CẤP HUYỆN THEO LĨNH VỰC NĂM 2018</t>
  </si>
  <si>
    <r>
      <t>CHI NGÂN SÁCH CẤP HUYỆN THEO LĨNH VỰC</t>
    </r>
    <r>
      <rPr>
        <b/>
        <sz val="12"/>
        <color indexed="10"/>
        <rFont val="Times New Roman"/>
        <family val="1"/>
      </rPr>
      <t xml:space="preserve"> </t>
    </r>
  </si>
  <si>
    <t>Chi tạo nguồn CCTL</t>
  </si>
  <si>
    <t>Phí, lệ phí thuộc lĩnh vực môi trường</t>
  </si>
  <si>
    <t>QUYẾT TOÁN VỐN ĐẦU TƯ CÁC CHƯƠNG TRÌNH,  DỰ ÁN SỬ DỤNG VỐN NGÂN SÁCH NHÀ NƯỚC NĂM 2018</t>
  </si>
  <si>
    <t>S TT</t>
  </si>
  <si>
    <t>Danh mục dự án</t>
  </si>
  <si>
    <t>Địa điểm xây dựng</t>
  </si>
  <si>
    <t>Năng lực thiết kế</t>
  </si>
  <si>
    <t>MSDA</t>
  </si>
  <si>
    <t>Thời gian khởi công - hoàn thành</t>
  </si>
  <si>
    <t>Quyết định đầu tư</t>
  </si>
  <si>
    <t>Giá trị khối lượng thực hiện từ khởi công đến 31/12/2018</t>
  </si>
  <si>
    <t>Lũy kế vốn đã bố trí đến 31/12/2018</t>
  </si>
  <si>
    <t>DỰ TOÁN</t>
  </si>
  <si>
    <t>QUYẾT TOÁN</t>
  </si>
  <si>
    <t>Số Quyết định, ngày, tháng, năm ban hành</t>
  </si>
  <si>
    <t>Tổng mức đầu tư được duyệt</t>
  </si>
  <si>
    <r>
      <t xml:space="preserve">Tổng số </t>
    </r>
    <r>
      <rPr>
        <sz val="10"/>
        <rFont val="Times New Roman"/>
        <family val="1"/>
      </rPr>
      <t>(tất cả các nguồn vốn)</t>
    </r>
  </si>
  <si>
    <t>Chia theo nguồn vốn</t>
  </si>
  <si>
    <t>Ngoài nước</t>
  </si>
  <si>
    <t>Ngân sách Tỉnh</t>
  </si>
  <si>
    <t>Ngân sách trung ương</t>
  </si>
  <si>
    <t>Ngân sách Huyện</t>
  </si>
  <si>
    <t>27=22/17</t>
  </si>
  <si>
    <t>28=23/18</t>
  </si>
  <si>
    <t>29=24/19</t>
  </si>
  <si>
    <t>30=25/20</t>
  </si>
  <si>
    <t>31=26/21</t>
  </si>
  <si>
    <t>Các dự án thuộc kế hoạch năm 2018</t>
  </si>
  <si>
    <t>P2</t>
  </si>
  <si>
    <t>2017-2018</t>
  </si>
  <si>
    <t>QĐ BCKTKT số: 280/QĐ-UBND-XDCB ngày 24/10/2016 của UBND TP</t>
  </si>
  <si>
    <t>P3</t>
  </si>
  <si>
    <t>2016-2018</t>
  </si>
  <si>
    <t>QĐ BCKTKT số: 291/QĐ-UBND-XDCB ngày 25/10/2016 của UBND TP,QĐĐC  346/QĐ-UBND-XDCB ngày 30/11/2018</t>
  </si>
  <si>
    <t>TKĐ</t>
  </si>
  <si>
    <t>QĐ số: 290//QĐ.UBND-XDCB ngày  25/10/2016 của UBND TP</t>
  </si>
  <si>
    <t>TQĐ, P3</t>
  </si>
  <si>
    <t>QĐ BCKTKT số: 269/QĐ-UBND-XDCB ngày 30/10/2015 của UBND TP</t>
  </si>
  <si>
    <t>TQĐ</t>
  </si>
  <si>
    <t>QĐ BCKTKT số: 321/QĐ-UBND-XDCB ngày 28/10/2016 của UBND TP</t>
  </si>
  <si>
    <t>2015-2017</t>
  </si>
  <si>
    <t>QĐ BCKTKT số: 297/QĐ-UBND-XDCB ngày 28/10/2015 của UBND TP</t>
  </si>
  <si>
    <t>AH</t>
  </si>
  <si>
    <t>2016-2017</t>
  </si>
  <si>
    <t>QĐ BCKTKT số: 273/QĐ-UBND-XDCB ngày 20/10/2016 của UBND TP</t>
  </si>
  <si>
    <t>QĐ BCKTKT số: 275/QĐ-UBND-XDCB ngày 20/10/2016 của UBND TP</t>
  </si>
  <si>
    <t>2015-2016</t>
  </si>
  <si>
    <t>QĐ BCKTKT số: 265/QĐ-UBND-XDCB ngày 30/10/2014 của UBND TP</t>
  </si>
  <si>
    <t>Đường vào khu du lịch làng hoa kiểng thành phố Sa Đéc</t>
  </si>
  <si>
    <t>P TQĐ</t>
  </si>
  <si>
    <t>2015-2019</t>
  </si>
  <si>
    <t>QĐ 1070/QĐ-UBND.HC ngày 29/10/2014 của UBND tỉnh Đồng Tháp</t>
  </si>
  <si>
    <t>Đường Cao mên trên bờ phải (đoạn từ tỉnh lộ ĐT 852 đến nhà Ông Huỳnh Văn Dương)</t>
  </si>
  <si>
    <t>TQT</t>
  </si>
  <si>
    <t>2017-2019</t>
  </si>
  <si>
    <t>QĐ BCKTKT số: 323/UBND-XDCB ngày 27/10/2017;QĐ ĐC 351/QĐ-UBND-XDCB, ngày 04/12/2018 của UBND thành phố.</t>
  </si>
  <si>
    <t>Đường mới song song đường Nguyễn  Sinh Sắc (từ Hùng Vương - ĐT 848 nối dài)</t>
  </si>
  <si>
    <t>P2, TPĐ</t>
  </si>
  <si>
    <t>2018-2020</t>
  </si>
  <si>
    <t>QĐ BCKTKT số: 237/QĐ-UBND-XDCB ngày 27/10/2014 của UBND TP; QĐ ĐC DA số: 248/QĐ-UBND-XDCB ngày 15/8/2018 của UBND TP</t>
  </si>
  <si>
    <t>Dự án Xử lý nước thải, chất thải cải thiện môi trường làng nghề sản xuất bột chăn nuôi xã Tân Phú Đông</t>
  </si>
  <si>
    <t>TPĐ</t>
  </si>
  <si>
    <t>2011-2018</t>
  </si>
  <si>
    <t>QĐ DA số 699/QĐ-UBND-XDCB ngày  12/8/2011 Tỉnh . Dc-1310/QĐ-UBND-XDCB ngày  24/12/2013 Tỉnh ,dc 519/QĐ-UBND-XDCB ngày  4/6/2014 Tỉnh; QĐ 408/QĐ-UBND-HC, ngày 23/4/2018 UB tỉnh</t>
  </si>
  <si>
    <t>Trụ sở làm việc Công an và Ban chỉ huy quân sự xã Tân Phú Đông</t>
  </si>
  <si>
    <t>QĐ BCKTKT số: 320/QĐ-UBND-XDCB ngày 27/10/2017 của UBNHD thành phố Sa Đéc</t>
  </si>
  <si>
    <t>Ban chỉ huy Quân sự. Hạng mục: Xây dựng nhà ở tập trung cho huấn luyện LLDBĐV-DQTV</t>
  </si>
  <si>
    <t>PAH</t>
  </si>
  <si>
    <t>QĐ BCKTKT số: 319/QĐ,UBND-XDCB ngày 27/10/2017 của UBND thành phố Sa Đéc; QĐ 296/QĐ-UBND-XDCB ngày 10/10/2018 đc tg thực hiện</t>
  </si>
  <si>
    <t>P1</t>
  </si>
  <si>
    <t>QĐ BCKTKT số: 40/QĐ-UBND-XDCB ngày  31/10/2015 UBND TP đ/c</t>
  </si>
  <si>
    <t>216-2018</t>
  </si>
  <si>
    <t>QĐ BCKTKT số: 277/QĐ-UBND-XDCB ngày  24/10/2016 của UBND TP</t>
  </si>
  <si>
    <t>PTQĐ</t>
  </si>
  <si>
    <t>QĐ BCKTKT số: 282/QĐ-UBND-XDCB ngày  24/10/2016 của UBND TP</t>
  </si>
  <si>
    <t xml:space="preserve"> - Tất toán công trình</t>
  </si>
  <si>
    <t>Cầu Rạch Rắn</t>
  </si>
  <si>
    <t>2014-2016</t>
  </si>
  <si>
    <t>QĐ số: 163/QĐ-UBND-XDCB ngày 16/9/2011 UBND TX-159a/QĐ-UBND-XDCB ngày 12/8/2014 của UBND TP</t>
  </si>
  <si>
    <t>Đường Lòng Lai bờ phải đoạn 2</t>
  </si>
  <si>
    <t>QĐ BCKTKT số 232/QĐ-UBND-XDCB ngày 27/10/2014 của UBND TP</t>
  </si>
  <si>
    <t>Cầu Rạch Bà Điếc</t>
  </si>
  <si>
    <t>QĐ BCKTKT số: 317/QĐ-UBND-XDCB ngày 29/10/2015của UBND TP- QĐ PDDT số 24/QĐ-UBND-XDCB ngày /05/4/2016-PAH</t>
  </si>
  <si>
    <t>Đường cặp rạch nàng Hai (cây me) Trần Phú đến Nguyễn Văn Phát</t>
  </si>
  <si>
    <t>2013-2016</t>
  </si>
  <si>
    <t>QĐBCKTKT số 196/QĐ-UBND-XDCB ngày 29/10/2013 của UBND TP</t>
  </si>
  <si>
    <t>Đường kênh Đốc Phủ Hiền bờ phải nối dài</t>
  </si>
  <si>
    <t>P.AH</t>
  </si>
  <si>
    <t>QĐ BCKTKT số: 195/QĐ-UBND-XDCB ngày 29/10/2013 của UBND TP</t>
  </si>
  <si>
    <t>2014-2017</t>
  </si>
  <si>
    <t>QĐ BCKTKT Số: 192/18/9/2012-762/08/11/2013-227a/15/6/2014</t>
  </si>
  <si>
    <t>Tuyền cấp nước bờ trái QL 80 (cầu Đốc Phủ Hiền - Đội Thơ)</t>
  </si>
  <si>
    <t>QĐ BCKTKT số:  328/QĐ-UBND-XDCB ngày 30/10/2015 của UBND TP</t>
  </si>
  <si>
    <t>QĐ BCKTKT số: 347/QĐ-UBND-XDCB ngày 30/10/2015 của UBND TP</t>
  </si>
  <si>
    <t>Đường Cái Bè</t>
  </si>
  <si>
    <t>QĐ BCKTKT số: 217/31/10/2013</t>
  </si>
  <si>
    <t>Đường cặp rạch nàng Hai - cây me (Nguyễn Văn Phát-cầu Rạch Rẫy)</t>
  </si>
  <si>
    <t>Đường Sa Nhiên Cai Dao</t>
  </si>
  <si>
    <t>Đường cặp rạch nàng Hai - cây me (HTM-TTN)</t>
  </si>
  <si>
    <t>HT điện hạ thế xã Tân Phú Đông (đường tránh QL 80 - bên phải)</t>
  </si>
  <si>
    <t>Đường cặp rạch Bình Tiên</t>
  </si>
  <si>
    <t>QĐ số: 112a/27/6/2014</t>
  </si>
  <si>
    <t>Đường Ngã Bát bờ trái đoạn 3</t>
  </si>
  <si>
    <t>xã TPĐ</t>
  </si>
  <si>
    <t>QĐ số: 227/QĐ-UBND-XDCB ngày 27/10/2014 của UBND TP</t>
  </si>
  <si>
    <t xml:space="preserve">Cầu + Đường Tôn Đức Thắng nối dài </t>
  </si>
  <si>
    <t>QĐ BCKTKT số: 205/QĐ-UBND-XDCB ngày 9/10/2014 của UBND TP</t>
  </si>
  <si>
    <t>QĐ BCKTKT số: 269/QĐ-UBND-XDCB ngày 17/10/2016 của UBND TP</t>
  </si>
  <si>
    <t>QĐ BCKTKT số: 232/QĐ-UBND-XDCB ngày 27/10/2014-QĐ BCKTKT dc số: 324/QĐ-UBND-XDCB ngày 30/10/2015 của UBND TP</t>
  </si>
  <si>
    <t>QĐ BCKTKT số: 316/QĐ-UBND-XDCB ngày 29/10/2015 của UBND TP- QĐ PDDT số: 22/QĐ-UBND-XDCB 05/4/2016 PAH</t>
  </si>
  <si>
    <t>QĐ BCKTKT số: 368/QĐ-UBND-XDCB ngày 29/10/2015 của UBND TP -QĐ PDDT số: 27/QĐ-UBND-XDCB ngày 11/5/2016-PAH</t>
  </si>
  <si>
    <t>Đường Ngã Bát bờ trái đoạn 2</t>
  </si>
  <si>
    <t>QĐ BCKTKT số: 369/QĐ-UBND-XDCB ngày  30/10/2015 của UBND TP -QĐ PDDT số: 28/QĐ-UBND-XDCB ngày 11/5/2016-PAH</t>
  </si>
  <si>
    <t>QĐ BCKTKT số: 315/QĐ-UBND-XDCB ngày 29/10/2015của UBND TP- QĐ PDDT số: 26/QĐ-UBND-XDCB ngày 11/5/2016 PAH</t>
  </si>
  <si>
    <t xml:space="preserve">Khu dân cư khóm 3 phường 2 </t>
  </si>
  <si>
    <t>2006-2016</t>
  </si>
  <si>
    <t>QĐ số 246/QĐ-UBND-XDCB ngày 27/3/2006-433/QĐ-UBND-XDCB ngày 14/5/2013-269/QĐ-UBND-XDCB ngày 07/3/2016 Tỉnh</t>
  </si>
  <si>
    <t>Khu dân cư thương mại thành phố Sa Đéc</t>
  </si>
  <si>
    <t>Trường Trung học cơ sở Tân Phú Đông</t>
  </si>
  <si>
    <t>Xã TPĐ</t>
  </si>
  <si>
    <t>2015-2018</t>
  </si>
  <si>
    <t>QĐ số: 359/QĐ.UBND-XDCB ngày 30/10/2015 của UBND thành phố</t>
  </si>
  <si>
    <t>Trường TH Vĩnh Phước (giai đoạn 2)</t>
  </si>
  <si>
    <t>QĐ BCKTKT số: 321/QĐ-UBND-XDCB ngày 27/10/2017 của UBND thành phố Sa Đéc</t>
  </si>
  <si>
    <t>Trường Mầm non Tân Phú Đông 3</t>
  </si>
  <si>
    <t>QĐ BCKTKT số: 284/QĐ-UBND-XDCB ngày 08/9/2017 của UBND TP</t>
  </si>
  <si>
    <t xml:space="preserve">Đường Nguyễn Tất Thành nối dài </t>
  </si>
  <si>
    <t>QĐ DA số: 234/QĐ-UBND-XDCB ngày 27/10/2014 của UBND TP-QĐ ĐC DA số: 189/QĐ-UBND-XDCB ngày 22/06/2017 của UBND TP;QĐ ĐC DA số: 271/QĐ-UBND-XDCB ngày 13/9/2018 của UBND TP;QĐĐC 356/QĐ-UBND-XDCB, ngày 07/12/2018 của UBND thành phố</t>
  </si>
  <si>
    <t>Đường Kênh cùng Long Thắng</t>
  </si>
  <si>
    <t>2018-2019</t>
  </si>
  <si>
    <t>QĐ số:  327/QĐ-UBND-XDCB ngày 30/10/2015 của UBND TP;QĐ ĐC số:  104/QĐ-UBND-XDCB ngày 11/5/2018 của UBND TP</t>
  </si>
  <si>
    <t>Đường Rạch chùa bờ phải (đoạn từ cầu Hai Đường đến đường Phạm Hữu Lầu nối dài)</t>
  </si>
  <si>
    <t>QĐ BCKTKT số:322/QĐ-UBND-XDCB ngày 27/10/2017của UBND thành phố;QĐ ĐC DA số: 353/QĐ-UBND-XDCB ngày 05/12/2018 của UBND TP</t>
  </si>
  <si>
    <t xml:space="preserve"> Nâng cấp đường Trần Hưng Đạo ( Trạm Y tế phường 1- cầu. Nàng Hai)</t>
  </si>
  <si>
    <t>QĐ BCKTKT số: 206/QĐ-UBND-XDCB ngày 25/7/2016 của UBND TP</t>
  </si>
  <si>
    <t>Đường vào khu công nghiệp C Sa Đéc mở rộng</t>
  </si>
  <si>
    <t>2014-2018</t>
  </si>
  <si>
    <t>QĐ 587/QĐ-UBND.HC ngày 24/6/2013 của UBND tỉnh Đồng Tháp; QĐDC 1543/QĐ-UBND.HC ngày 30/12/2016 của UBND tỉnh Đồng Tháp;QĐDC 1437/QĐ-UBND.HC ngày 20/11/2018 của UBND tỉnh Đồng Tháp</t>
  </si>
  <si>
    <t>Bố trí vốn đối ứng xây dựng trụ sở Ban CHQS phường Tân Quy Đông</t>
  </si>
  <si>
    <t>7004686</t>
  </si>
  <si>
    <t>2016-2020</t>
  </si>
  <si>
    <t>1184/QĐ-UBND-HC ngày 21/10/2016 của UBND tỉnh Đồng Tháp</t>
  </si>
  <si>
    <t>QĐ BCKTKT số: 231/QĐ-UBND-XDCB ngày 21/10/2015 của UBND TP -QĐ PDDT số: 42/QĐ-UBND-XDCB ngày 20/5/2016 P3</t>
  </si>
  <si>
    <t>QĐ BCKTKT Số: 998/QĐ-UBND-HC ngày 29/8/2017 của UBND tỉnh Đồng Tháp</t>
  </si>
  <si>
    <t xml:space="preserve">Hạ tầng phát triển du lịch thành phố Sa Đéc (hạng mục: đường Lê Lợi và đường Ông Thung Cai Dao)- đối ứng vốn tỉnh hỗ trợ </t>
  </si>
  <si>
    <t>P4</t>
  </si>
  <si>
    <t>QĐ BCKTKT số: 279/QĐ-UBND-XDCB ngày  24/10/2016 của UBND TP;QĐ ĐC số: 241/QĐ-UBND-XDCB ngày  07/8/2018 của UBND TP</t>
  </si>
  <si>
    <t>QĐ BCKTKT số: 264/30/10/2014</t>
  </si>
  <si>
    <t>QĐ PĐA số: 270/QĐ-UBND-XDCB ngày 17/10/2016 của UBND TP-QĐ PD TKBV&amp;DT số 268/QĐ-UBND-XDCB ngày 17/8/2017 của UBND TP</t>
  </si>
  <si>
    <t>QĐ BCKTKT số: 281/QĐ-UBND-XDCB ngày 24/10/2016 của UBND TP</t>
  </si>
  <si>
    <t>2016-2019</t>
  </si>
  <si>
    <t>QĐ BCKTKT số: 279/QĐ-UBND-XDCB ngày 24/10/2016 của UBND TP</t>
  </si>
  <si>
    <t>QĐ BCKTKT số: 195/QĐ-UBND-XDCB ngày 27/8/2015 của UBTP</t>
  </si>
  <si>
    <t>QĐ BCKTKT số: 190/QĐ-UBND-XDCB ngày 24/8/2015 của UBTP</t>
  </si>
  <si>
    <t>QĐ BCKTKT số: 40/QĐ-UBND-XDCB ngày 31/10/2015 của UBTP</t>
  </si>
  <si>
    <t>QĐ BCKTKT số: 297/QĐ-UBND-XDCB ngày 28/10/2015 của UBTP</t>
  </si>
  <si>
    <t>QĐ BCKTKT số 195/QĐ-UBND-XDCB ngày 29/10/2013 của UBTP</t>
  </si>
  <si>
    <t>QĐ BCKTKT số 254/QĐ-UBND-XDCB ngày 30/10/2014 của UBND TP</t>
  </si>
  <si>
    <t>QĐ DA số: 38/QĐ-UBND-XDCB ngày 30/3/2016 của UBND TP&amp;QĐ ĐC số 311/QĐ-UBND-XDCB ngày 29/10/2016 của UBND TP</t>
  </si>
  <si>
    <t>Phòng Kinh tế</t>
  </si>
  <si>
    <t>Phòng Lao động-Thương binh&amp;Xã hội</t>
  </si>
  <si>
    <t>Ngân sách cấp xã</t>
  </si>
  <si>
    <t>Xã Tân Phú Đông</t>
  </si>
  <si>
    <t>Xã Tân Khánh Đông</t>
  </si>
  <si>
    <t>Xã Tân Quy Tây</t>
  </si>
  <si>
    <t>HỘI ĐỒNG NHÂN DÂN</t>
  </si>
  <si>
    <t xml:space="preserve">   CỘNG HÒA XÃ HỘI CHỦ NGHĨA VIỆT NAM</t>
  </si>
  <si>
    <t xml:space="preserve">  Độc lập - Tự do - Hạnh phúc</t>
  </si>
  <si>
    <t xml:space="preserve">       THÀNH PHỐ SA ĐÉC       </t>
  </si>
  <si>
    <t>------------------</t>
  </si>
  <si>
    <t>-------------------------------</t>
  </si>
  <si>
    <t>(Kèm theo Nghị quyết số 08/NQ-HĐND ngày 19/7/2019 của HĐND thành phố)</t>
  </si>
  <si>
    <t>PHỤ LỤC SỐ 01</t>
  </si>
  <si>
    <t>------------------------</t>
  </si>
  <si>
    <t>-----------------------</t>
  </si>
  <si>
    <t xml:space="preserve">      HỘI ĐỒNG NHÂN DÂN                                   CỘNG HÒA XÃ HỘI CHỦ NGHĨA VIỆT NAM</t>
  </si>
  <si>
    <t xml:space="preserve">       THÀNH PHỐ SA ĐÉC                                                     Độc lập - Tự do - Hạnh phúc</t>
  </si>
  <si>
    <t xml:space="preserve">               -------------                                                                  ----------------------------------</t>
  </si>
  <si>
    <t>PHỤ LỤC SỐ 02</t>
  </si>
  <si>
    <t xml:space="preserve"> QUYẾT TOÁN CÂN ĐỐI NGUỒN THU, CHI NGÂN SÁCH CẤP HUYỆN VÀ NGÂN SÁCH XÃ       NĂM 2018</t>
  </si>
  <si>
    <t>CỘNG HÒA XÃ HỘI CHỦ NGHĨA VIỆT NAM</t>
  </si>
  <si>
    <t>Độc lập - Tự do - Hạnh phúc</t>
  </si>
  <si>
    <t>----------------</t>
  </si>
  <si>
    <t>PHỤ LỤC SỐ 03</t>
  </si>
  <si>
    <t>------------------------------</t>
  </si>
  <si>
    <t>HỘI ĐỒNG NHÂN DÂN                                   CỘNG HÒA XÃ HỘI CHỦ NGHĨA VIỆT NAM</t>
  </si>
  <si>
    <t xml:space="preserve">                  -------------                                                                        ----------------------------------</t>
  </si>
  <si>
    <t>PHỤ LỤC SỐ 04</t>
  </si>
  <si>
    <t xml:space="preserve">      HỘI ĐỒNG NHÂN DÂN</t>
  </si>
  <si>
    <t xml:space="preserve">       THÀNH PHỐ SA ĐÉC</t>
  </si>
  <si>
    <t xml:space="preserve">              -----------------</t>
  </si>
  <si>
    <t>---------------------------</t>
  </si>
  <si>
    <t>-----------------------------------------</t>
  </si>
  <si>
    <t>PHỤ LỤC SỐ 05</t>
  </si>
  <si>
    <t>PHỤ LỤC SỐ 06</t>
  </si>
  <si>
    <t>--------------------------</t>
  </si>
  <si>
    <t>PHỤ LỤC SỐ 07</t>
  </si>
  <si>
    <t>---------------------</t>
  </si>
  <si>
    <t>PHỤ LỤC SỐ 08</t>
  </si>
  <si>
    <t>PHỤ LỤC SỐ 09</t>
  </si>
  <si>
    <t>PHỤ LỤC SỐ 10</t>
  </si>
  <si>
    <t>PHỤ LỤC SỐ 11</t>
  </si>
  <si>
    <t>PHỤ LỤC SỐ 12</t>
  </si>
  <si>
    <t>PHỤ LỤC SỐ 13</t>
  </si>
  <si>
    <t>PHỤ LỤC SỐ 14</t>
  </si>
  <si>
    <t>--------------------------------</t>
  </si>
  <si>
    <t>PHỤ LỤC SỐ 16</t>
  </si>
  <si>
    <t>PHỤ LỤC SỐ 17</t>
  </si>
  <si>
    <t>----------------------------</t>
  </si>
  <si>
    <t>PHỤ LỤC SỐ 15</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</si>
</sst>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_(@_)"/>
    <numFmt numFmtId="182" formatCode="###,###,###"/>
    <numFmt numFmtId="183" formatCode="_-* #,##0.0_-;\-* #,##0.0_-;_-* &quot;-&quot;??_-;_-@_-"/>
    <numFmt numFmtId="184" formatCode="_-* #,##0_-;\-* #,##0_-;_-* &quot;-&quot;??_-;_-@_-"/>
    <numFmt numFmtId="185" formatCode="_(* #,##0_);_(* \(#,##0\);_(* &quot;-&quot;??_);_(@_)"/>
    <numFmt numFmtId="186" formatCode="00"/>
    <numFmt numFmtId="187" formatCode="0.0"/>
    <numFmt numFmtId="188" formatCode="_-* #,##0.000_-;\-* #,##0.000_-;_-* &quot;-&quot;??_-;_-@_-"/>
    <numFmt numFmtId="189" formatCode="_-* #,##0.0000_-;\-* #,##0.0000_-;_-* &quot;-&quot;??_-;_-@_-"/>
    <numFmt numFmtId="190" formatCode="_(* #,##0.000000_);_(* \(#,##0.000000\);_(* &quot;-&quot;??_);_(@_)"/>
    <numFmt numFmtId="191" formatCode="_(* #,##0.0000000_);_(* \(#,##0.0000000\);_(* &quot;-&quot;??_);_(@_)"/>
    <numFmt numFmtId="192" formatCode="_(* #,##0.00000_);_(* \(#,##0.00000\);_(* &quot;-&quot;??_);_(@_)"/>
    <numFmt numFmtId="193" formatCode="_(* #,##0.000_);_(* \(#,##0.000\);_(* &quot;-&quot;???_);_(@_)"/>
    <numFmt numFmtId="194" formatCode="_(* #,##0.000_);_(* \(#,##0.000\);_(* &quot;-&quot;??_);_(@_)"/>
    <numFmt numFmtId="195" formatCode="_(* #,##0.0_);_(* \(#,##0.0\);_(* &quot;-&quot;??_);_(@_)"/>
    <numFmt numFmtId="196" formatCode="&quot;Yes&quot;;&quot;Yes&quot;;&quot;No&quot;"/>
    <numFmt numFmtId="197" formatCode="&quot;True&quot;;&quot;True&quot;;&quot;False&quot;"/>
    <numFmt numFmtId="198" formatCode="&quot;On&quot;;&quot;On&quot;;&quot;Off&quot;"/>
    <numFmt numFmtId="199" formatCode="[$€-2]\ #,##0.00_);[Red]\([$€-2]\ #,##0.00\)"/>
    <numFmt numFmtId="200" formatCode="_-* #,##0\ _₫_-;\-* #,##0\ _₫_-;_-* &quot;-&quot;??\ _₫_-;_-@_-"/>
    <numFmt numFmtId="201" formatCode="_-* #,##0.00000_-;\-* #,##0.00000_-;_-* &quot;-&quot;??_-;_-@_-"/>
    <numFmt numFmtId="202" formatCode="_-* #,##0.000000_-;\-* #,##0.000000_-;_-* &quot;-&quot;??_-;_-@_-"/>
    <numFmt numFmtId="203" formatCode="_-* #,##0.0000000_-;\-* #,##0.0000000_-;_-* &quot;-&quot;??_-;_-@_-"/>
    <numFmt numFmtId="204" formatCode="_-* #,##0.00000000_-;\-* #,##0.00000000_-;_-* &quot;-&quot;??_-;_-@_-"/>
    <numFmt numFmtId="205" formatCode="_-* #,##0.000000000_-;\-* #,##0.000000000_-;_-* &quot;-&quot;??_-;_-@_-"/>
    <numFmt numFmtId="206" formatCode="_-* #,##0.0000000000_-;\-* #,##0.0000000000_-;_-* &quot;-&quot;??_-;_-@_-"/>
  </numFmts>
  <fonts count="166">
    <font>
      <sz val="12"/>
      <name val=".VnTime"/>
      <family val="2"/>
    </font>
    <font>
      <sz val="11"/>
      <color indexed="8"/>
      <name val="Calibri"/>
      <family val="2"/>
    </font>
    <font>
      <b/>
      <sz val="12"/>
      <name val="Times New Roman"/>
      <family val="1"/>
    </font>
    <font>
      <sz val="12"/>
      <name val="Times New Roman"/>
      <family val="1"/>
    </font>
    <font>
      <i/>
      <sz val="12"/>
      <name val="Times New Roman"/>
      <family val="1"/>
    </font>
    <font>
      <b/>
      <u val="single"/>
      <sz val="12"/>
      <name val="Times New Roman"/>
      <family val="1"/>
    </font>
    <font>
      <b/>
      <sz val="12"/>
      <name val="Times New Roman h"/>
      <family val="0"/>
    </font>
    <font>
      <b/>
      <i/>
      <sz val="12"/>
      <name val="Times New Roman"/>
      <family val="1"/>
    </font>
    <font>
      <sz val="9"/>
      <name val="Arial"/>
      <family val="2"/>
    </font>
    <font>
      <sz val="13"/>
      <name val=".VnTime"/>
      <family val="2"/>
    </font>
    <font>
      <sz val="14"/>
      <name val=".VnTime"/>
      <family val="2"/>
    </font>
    <font>
      <sz val="12"/>
      <name val=".VnArial Narrow"/>
      <family val="2"/>
    </font>
    <font>
      <sz val="10"/>
      <name val="Arial"/>
      <family val="2"/>
    </font>
    <font>
      <sz val="10"/>
      <name val="Times New Roman"/>
      <family val="1"/>
    </font>
    <font>
      <sz val="10"/>
      <name val="VNI-Times"/>
      <family val="0"/>
    </font>
    <font>
      <sz val="16"/>
      <name val="Times New Roman"/>
      <family val="1"/>
    </font>
    <font>
      <sz val="14"/>
      <name val="Times New Roman"/>
      <family val="1"/>
    </font>
    <font>
      <u val="single"/>
      <sz val="12"/>
      <name val="Times New Roman"/>
      <family val="1"/>
    </font>
    <font>
      <b/>
      <sz val="11"/>
      <name val="Times New Roman"/>
      <family val="1"/>
    </font>
    <font>
      <b/>
      <sz val="16"/>
      <name val="Times New Roman"/>
      <family val="1"/>
    </font>
    <font>
      <u val="single"/>
      <sz val="16"/>
      <name val="Times New Roman"/>
      <family val="1"/>
    </font>
    <font>
      <i/>
      <sz val="10"/>
      <name val="Times New Roman"/>
      <family val="1"/>
    </font>
    <font>
      <i/>
      <u val="singleAccounting"/>
      <sz val="10"/>
      <name val="Times New Roman"/>
      <family val="1"/>
    </font>
    <font>
      <sz val="10.5"/>
      <name val="Times New Roman"/>
      <family val="1"/>
    </font>
    <font>
      <b/>
      <sz val="10.5"/>
      <name val="Times New Roman"/>
      <family val="1"/>
    </font>
    <font>
      <i/>
      <sz val="10.5"/>
      <name val="Times New Roman"/>
      <family val="1"/>
    </font>
    <font>
      <b/>
      <i/>
      <sz val="10.5"/>
      <name val="Times New Roman"/>
      <family val="1"/>
    </font>
    <font>
      <i/>
      <sz val="14"/>
      <name val="Times New Roman"/>
      <family val="1"/>
    </font>
    <font>
      <b/>
      <sz val="14"/>
      <name val="Times New Roman"/>
      <family val="1"/>
    </font>
    <font>
      <b/>
      <sz val="8"/>
      <name val="Times New Roman"/>
      <family val="1"/>
    </font>
    <font>
      <i/>
      <sz val="10"/>
      <color indexed="8"/>
      <name val="Times New Roman"/>
      <family val="1"/>
    </font>
    <font>
      <i/>
      <sz val="12"/>
      <color indexed="8"/>
      <name val="Times New Roman"/>
      <family val="1"/>
    </font>
    <font>
      <b/>
      <sz val="12"/>
      <name val=".VnTime"/>
      <family val="2"/>
    </font>
    <font>
      <sz val="11"/>
      <name val="Times New Roman"/>
      <family val="1"/>
    </font>
    <font>
      <i/>
      <sz val="11"/>
      <name val="Times New Roman"/>
      <family val="1"/>
    </font>
    <font>
      <b/>
      <sz val="12"/>
      <color indexed="10"/>
      <name val="Times New Roman"/>
      <family val="1"/>
    </font>
    <font>
      <i/>
      <sz val="16"/>
      <name val="Times New Roman"/>
      <family val="1"/>
    </font>
    <font>
      <sz val="11"/>
      <color indexed="8"/>
      <name val="Times New Roman"/>
      <family val="1"/>
    </font>
    <font>
      <sz val="12"/>
      <color indexed="9"/>
      <name val="Times New Roman"/>
      <family val="1"/>
    </font>
    <font>
      <b/>
      <i/>
      <sz val="14"/>
      <color indexed="8"/>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VnTime"/>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VnTime"/>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6"/>
      <color indexed="8"/>
      <name val="Times New Roman"/>
      <family val="1"/>
    </font>
    <font>
      <sz val="10"/>
      <color indexed="8"/>
      <name val="Times New Roman"/>
      <family val="1"/>
    </font>
    <font>
      <b/>
      <sz val="10"/>
      <color indexed="8"/>
      <name val="Times New Roman"/>
      <family val="1"/>
    </font>
    <font>
      <sz val="16"/>
      <color indexed="10"/>
      <name val="Times New Roman"/>
      <family val="1"/>
    </font>
    <font>
      <sz val="15"/>
      <color indexed="8"/>
      <name val="Times New Roman"/>
      <family val="1"/>
    </font>
    <font>
      <b/>
      <sz val="15"/>
      <color indexed="8"/>
      <name val="Times New Roman"/>
      <family val="1"/>
    </font>
    <font>
      <sz val="10"/>
      <color indexed="10"/>
      <name val="Times New Roman"/>
      <family val="1"/>
    </font>
    <font>
      <sz val="10.5"/>
      <color indexed="8"/>
      <name val="Times New Roman"/>
      <family val="1"/>
    </font>
    <font>
      <b/>
      <sz val="10.5"/>
      <color indexed="8"/>
      <name val="Times New Roman"/>
      <family val="1"/>
    </font>
    <font>
      <b/>
      <sz val="10.5"/>
      <color indexed="10"/>
      <name val="Times New Roman"/>
      <family val="1"/>
    </font>
    <font>
      <sz val="10.5"/>
      <color indexed="10"/>
      <name val="Times New Roman"/>
      <family val="1"/>
    </font>
    <font>
      <b/>
      <i/>
      <sz val="10.5"/>
      <color indexed="10"/>
      <name val="Times New Roman"/>
      <family val="1"/>
    </font>
    <font>
      <i/>
      <sz val="10.5"/>
      <color indexed="10"/>
      <name val="Times New Roman"/>
      <family val="1"/>
    </font>
    <font>
      <sz val="12"/>
      <color indexed="10"/>
      <name val="Times New Roman"/>
      <family val="1"/>
    </font>
    <font>
      <sz val="13"/>
      <color indexed="8"/>
      <name val="Times New Roman"/>
      <family val="1"/>
    </font>
    <font>
      <b/>
      <sz val="13"/>
      <color indexed="8"/>
      <name val="Times New Roman"/>
      <family val="1"/>
    </font>
    <font>
      <sz val="13"/>
      <color indexed="10"/>
      <name val="Times New Roman"/>
      <family val="1"/>
    </font>
    <font>
      <b/>
      <sz val="10"/>
      <color indexed="8"/>
      <name val="Arial"/>
      <family val="2"/>
    </font>
    <font>
      <b/>
      <i/>
      <sz val="10"/>
      <color indexed="8"/>
      <name val="Times New Roman"/>
      <family val="1"/>
    </font>
    <font>
      <b/>
      <sz val="11"/>
      <color indexed="8"/>
      <name val="Times New Roman"/>
      <family val="1"/>
    </font>
    <font>
      <i/>
      <sz val="11"/>
      <color indexed="8"/>
      <name val="Times New Roman"/>
      <family val="1"/>
    </font>
    <font>
      <b/>
      <i/>
      <sz val="12"/>
      <color indexed="8"/>
      <name val="Times New Roman"/>
      <family val="1"/>
    </font>
    <font>
      <sz val="12"/>
      <color indexed="40"/>
      <name val="Times New Roman"/>
      <family val="1"/>
    </font>
    <font>
      <b/>
      <sz val="12"/>
      <color indexed="40"/>
      <name val="Times New Roman"/>
      <family val="1"/>
    </font>
    <font>
      <b/>
      <sz val="12"/>
      <color indexed="9"/>
      <name val="Times New Roman"/>
      <family val="1"/>
    </font>
    <font>
      <sz val="14"/>
      <color indexed="12"/>
      <name val="Times New Roman"/>
      <family val="1"/>
    </font>
    <font>
      <i/>
      <sz val="12"/>
      <color indexed="12"/>
      <name val="Times New Roman"/>
      <family val="1"/>
    </font>
    <font>
      <b/>
      <sz val="12"/>
      <color indexed="12"/>
      <name val="Times New Roman"/>
      <family val="1"/>
    </font>
    <font>
      <sz val="12"/>
      <color indexed="12"/>
      <name val="Times New Roman"/>
      <family val="1"/>
    </font>
    <font>
      <sz val="10"/>
      <color indexed="12"/>
      <name val="Times New Roman"/>
      <family val="1"/>
    </font>
    <font>
      <sz val="10.5"/>
      <color indexed="12"/>
      <name val="Times New Roman"/>
      <family val="1"/>
    </font>
    <font>
      <b/>
      <sz val="11"/>
      <color indexed="10"/>
      <name val="Times New Roman"/>
      <family val="1"/>
    </font>
    <font>
      <sz val="11"/>
      <color indexed="10"/>
      <name val="Times New Roman"/>
      <family val="1"/>
    </font>
    <font>
      <b/>
      <sz val="10"/>
      <color indexed="12"/>
      <name val="Times New Roman"/>
      <family val="1"/>
    </font>
    <font>
      <b/>
      <sz val="14"/>
      <color indexed="8"/>
      <name val="Times New Roman"/>
      <family val="1"/>
    </font>
    <font>
      <i/>
      <sz val="14"/>
      <color indexed="8"/>
      <name val="Times New Roman"/>
      <family val="1"/>
    </font>
    <font>
      <b/>
      <sz val="13"/>
      <name val="Times New Roman"/>
      <family val="1"/>
    </font>
    <font>
      <i/>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VnTime"/>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VnTime"/>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Times New Roman"/>
      <family val="1"/>
    </font>
    <font>
      <b/>
      <sz val="12"/>
      <color theme="1"/>
      <name val="Times New Roman"/>
      <family val="1"/>
    </font>
    <font>
      <sz val="12"/>
      <color rgb="FF000000"/>
      <name val="Times New Roman"/>
      <family val="1"/>
    </font>
    <font>
      <sz val="16"/>
      <color theme="1"/>
      <name val="Times New Roman"/>
      <family val="1"/>
    </font>
    <font>
      <sz val="10"/>
      <color theme="1"/>
      <name val="Times New Roman"/>
      <family val="1"/>
    </font>
    <font>
      <b/>
      <sz val="10"/>
      <color theme="1"/>
      <name val="Times New Roman"/>
      <family val="1"/>
    </font>
    <font>
      <sz val="16"/>
      <color rgb="FFFF0000"/>
      <name val="Times New Roman"/>
      <family val="1"/>
    </font>
    <font>
      <sz val="15"/>
      <color theme="1"/>
      <name val="Times New Roman"/>
      <family val="1"/>
    </font>
    <font>
      <b/>
      <sz val="15"/>
      <color theme="1"/>
      <name val="Times New Roman"/>
      <family val="1"/>
    </font>
    <font>
      <sz val="10"/>
      <color rgb="FFFF0000"/>
      <name val="Times New Roman"/>
      <family val="1"/>
    </font>
    <font>
      <sz val="10.5"/>
      <color theme="1"/>
      <name val="Times New Roman"/>
      <family val="1"/>
    </font>
    <font>
      <b/>
      <sz val="10.5"/>
      <color theme="1"/>
      <name val="Times New Roman"/>
      <family val="1"/>
    </font>
    <font>
      <b/>
      <sz val="10.5"/>
      <color rgb="FFFF0000"/>
      <name val="Times New Roman"/>
      <family val="1"/>
    </font>
    <font>
      <sz val="10.5"/>
      <color rgb="FFFF0000"/>
      <name val="Times New Roman"/>
      <family val="1"/>
    </font>
    <font>
      <b/>
      <i/>
      <sz val="10.5"/>
      <color rgb="FFFF0000"/>
      <name val="Times New Roman"/>
      <family val="1"/>
    </font>
    <font>
      <i/>
      <sz val="10.5"/>
      <color rgb="FFFF0000"/>
      <name val="Times New Roman"/>
      <family val="1"/>
    </font>
    <font>
      <sz val="12"/>
      <color rgb="FFFF0000"/>
      <name val="Times New Roman"/>
      <family val="1"/>
    </font>
    <font>
      <sz val="13"/>
      <color theme="1"/>
      <name val="Times New Roman"/>
      <family val="1"/>
    </font>
    <font>
      <b/>
      <sz val="13"/>
      <color theme="1"/>
      <name val="Times New Roman"/>
      <family val="1"/>
    </font>
    <font>
      <sz val="13"/>
      <color rgb="FFFF0000"/>
      <name val="Times New Roman"/>
      <family val="1"/>
    </font>
    <font>
      <b/>
      <sz val="12"/>
      <color rgb="FF000000"/>
      <name val="Times New Roman"/>
      <family val="1"/>
    </font>
    <font>
      <b/>
      <sz val="10"/>
      <color rgb="FF000000"/>
      <name val="Arial"/>
      <family val="2"/>
    </font>
    <font>
      <b/>
      <i/>
      <sz val="10"/>
      <color rgb="FF000000"/>
      <name val="Times New Roman"/>
      <family val="1"/>
    </font>
    <font>
      <i/>
      <sz val="10"/>
      <color rgb="FF000000"/>
      <name val="Times New Roman"/>
      <family val="1"/>
    </font>
    <font>
      <i/>
      <sz val="12"/>
      <color rgb="FF000000"/>
      <name val="Times New Roman"/>
      <family val="1"/>
    </font>
    <font>
      <sz val="11"/>
      <color rgb="FF000000"/>
      <name val="Times New Roman"/>
      <family val="1"/>
    </font>
    <font>
      <b/>
      <sz val="11"/>
      <color rgb="FF000000"/>
      <name val="Times New Roman"/>
      <family val="1"/>
    </font>
    <font>
      <i/>
      <sz val="11"/>
      <color rgb="FF000000"/>
      <name val="Times New Roman"/>
      <family val="1"/>
    </font>
    <font>
      <b/>
      <i/>
      <sz val="12"/>
      <color rgb="FF000000"/>
      <name val="Times New Roman"/>
      <family val="1"/>
    </font>
    <font>
      <sz val="12"/>
      <color rgb="FF00B0F0"/>
      <name val="Times New Roman"/>
      <family val="1"/>
    </font>
    <font>
      <b/>
      <sz val="12"/>
      <color rgb="FF00B0F0"/>
      <name val="Times New Roman"/>
      <family val="1"/>
    </font>
    <font>
      <sz val="12"/>
      <color theme="0"/>
      <name val="Times New Roman"/>
      <family val="1"/>
    </font>
    <font>
      <b/>
      <sz val="12"/>
      <color theme="0"/>
      <name val="Times New Roman"/>
      <family val="1"/>
    </font>
    <font>
      <sz val="14"/>
      <color rgb="FF0000FF"/>
      <name val="Times New Roman"/>
      <family val="1"/>
    </font>
    <font>
      <i/>
      <sz val="12"/>
      <color rgb="FF0000FF"/>
      <name val="Times New Roman"/>
      <family val="1"/>
    </font>
    <font>
      <b/>
      <sz val="12"/>
      <color rgb="FF0000FF"/>
      <name val="Times New Roman"/>
      <family val="1"/>
    </font>
    <font>
      <sz val="12"/>
      <color rgb="FF0000FF"/>
      <name val="Times New Roman"/>
      <family val="1"/>
    </font>
    <font>
      <sz val="10"/>
      <color rgb="FF0000FF"/>
      <name val="Times New Roman"/>
      <family val="1"/>
    </font>
    <font>
      <sz val="10.5"/>
      <color rgb="FF0000FF"/>
      <name val="Times New Roman"/>
      <family val="1"/>
    </font>
    <font>
      <b/>
      <sz val="11"/>
      <color rgb="FFFF0000"/>
      <name val="Times New Roman"/>
      <family val="1"/>
    </font>
    <font>
      <sz val="11"/>
      <color rgb="FFFF0000"/>
      <name val="Times New Roman"/>
      <family val="1"/>
    </font>
    <font>
      <b/>
      <sz val="10"/>
      <color rgb="FF0000FF"/>
      <name val="Times New Roman"/>
      <family val="1"/>
    </font>
    <font>
      <b/>
      <sz val="14"/>
      <color theme="1"/>
      <name val="Times New Roman"/>
      <family val="1"/>
    </font>
    <font>
      <b/>
      <sz val="14"/>
      <color rgb="FF000000"/>
      <name val="Times New Roman"/>
      <family val="1"/>
    </font>
    <font>
      <i/>
      <sz val="14"/>
      <color rgb="FF000000"/>
      <name val="Times New Roman"/>
      <family val="1"/>
    </font>
    <font>
      <b/>
      <sz val="13"/>
      <color rgb="FF000000"/>
      <name val="Times New Roman"/>
      <family val="1"/>
    </font>
    <font>
      <i/>
      <sz val="13"/>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color indexed="63"/>
      </left>
      <right style="thin"/>
      <top style="thin"/>
      <bottom style="thin"/>
    </border>
    <border>
      <left style="thin"/>
      <right style="thin"/>
      <top style="thin"/>
      <bottom style="thin"/>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hair"/>
    </border>
    <border>
      <left style="thin"/>
      <right style="thin"/>
      <top style="hair"/>
      <bottom style="hair"/>
    </border>
    <border>
      <left style="thin"/>
      <right style="medium"/>
      <top style="hair"/>
      <bottom style="hair"/>
    </border>
    <border>
      <left style="thin"/>
      <right style="thin"/>
      <top style="hair"/>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color indexed="63"/>
      </left>
      <right>
        <color indexed="63"/>
      </right>
      <top style="thin"/>
      <bottom>
        <color indexed="63"/>
      </bottom>
    </border>
    <border>
      <left>
        <color indexed="63"/>
      </left>
      <right>
        <color indexed="63"/>
      </right>
      <top>
        <color indexed="63"/>
      </top>
      <bottom style="thin"/>
    </border>
    <border>
      <left style="thin"/>
      <right/>
      <top style="thin"/>
      <bottom/>
    </border>
    <border>
      <left/>
      <right style="thin"/>
      <top style="thin"/>
      <bottom/>
    </border>
    <border>
      <left style="thin"/>
      <right/>
      <top/>
      <bottom style="thin"/>
    </border>
    <border>
      <left/>
      <right style="thin"/>
      <top/>
      <bottom style="thin"/>
    </border>
    <border>
      <left style="medium"/>
      <right/>
      <top/>
      <bottom/>
    </border>
  </borders>
  <cellStyleXfs count="76">
    <xf numFmtId="0" fontId="0" fillId="0" borderId="0">
      <alignment/>
      <protection/>
    </xf>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26" borderId="0" applyNumberFormat="0" applyBorder="0" applyAlignment="0" applyProtection="0"/>
    <xf numFmtId="0" fontId="102" fillId="27" borderId="1" applyNumberFormat="0" applyAlignment="0" applyProtection="0"/>
    <xf numFmtId="179" fontId="99" fillId="0" borderId="0" applyFont="0" applyFill="0" applyBorder="0" applyAlignment="0" applyProtection="0"/>
    <xf numFmtId="177" fontId="99" fillId="0" borderId="0" applyFont="0" applyFill="0" applyBorder="0" applyAlignment="0" applyProtection="0"/>
    <xf numFmtId="173" fontId="1" fillId="0" borderId="0" applyFont="0" applyFill="0" applyBorder="0" applyAlignment="0" applyProtection="0"/>
    <xf numFmtId="180" fontId="8" fillId="0" borderId="0" applyProtection="0">
      <alignment/>
    </xf>
    <xf numFmtId="178" fontId="99" fillId="0" borderId="0" applyFont="0" applyFill="0" applyBorder="0" applyAlignment="0" applyProtection="0"/>
    <xf numFmtId="176" fontId="99" fillId="0" borderId="0" applyFont="0" applyFill="0" applyBorder="0" applyAlignment="0" applyProtection="0"/>
    <xf numFmtId="0" fontId="103" fillId="28" borderId="2"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29" borderId="0" applyNumberFormat="0" applyBorder="0" applyAlignment="0" applyProtection="0"/>
    <xf numFmtId="181" fontId="9" fillId="0" borderId="0" applyFont="0" applyFill="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30" borderId="1" applyNumberFormat="0" applyAlignment="0" applyProtection="0"/>
    <xf numFmtId="0" fontId="112" fillId="0" borderId="6" applyNumberFormat="0" applyFill="0" applyAlignment="0" applyProtection="0"/>
    <xf numFmtId="0" fontId="113" fillId="31" borderId="0" applyNumberFormat="0" applyBorder="0" applyAlignment="0" applyProtection="0"/>
    <xf numFmtId="0" fontId="99" fillId="0" borderId="0">
      <alignment/>
      <protection/>
    </xf>
    <xf numFmtId="0" fontId="16" fillId="0" borderId="0">
      <alignment/>
      <protection/>
    </xf>
    <xf numFmtId="0" fontId="8" fillId="0" borderId="0">
      <alignment/>
      <protection/>
    </xf>
    <xf numFmtId="0" fontId="0" fillId="0" borderId="0">
      <alignment/>
      <protection/>
    </xf>
    <xf numFmtId="0" fontId="114" fillId="0" borderId="0">
      <alignment/>
      <protection/>
    </xf>
    <xf numFmtId="0" fontId="10" fillId="0" borderId="0" applyProtection="0">
      <alignment/>
    </xf>
    <xf numFmtId="0" fontId="11" fillId="0" borderId="0">
      <alignment/>
      <protection/>
    </xf>
    <xf numFmtId="0" fontId="99" fillId="0" borderId="0">
      <alignment/>
      <protection/>
    </xf>
    <xf numFmtId="0" fontId="12" fillId="0" borderId="0">
      <alignment/>
      <protection/>
    </xf>
    <xf numFmtId="0" fontId="14" fillId="0" borderId="0">
      <alignment/>
      <protection/>
    </xf>
    <xf numFmtId="0" fontId="99" fillId="32" borderId="7" applyNumberFormat="0" applyFont="0" applyAlignment="0" applyProtection="0"/>
    <xf numFmtId="0" fontId="115" fillId="27" borderId="8" applyNumberFormat="0" applyAlignment="0" applyProtection="0"/>
    <xf numFmtId="9" fontId="99"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873">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xf>
    <xf numFmtId="0" fontId="2" fillId="0" borderId="0" xfId="0" applyFont="1" applyAlignment="1" quotePrefix="1">
      <alignment horizontal="centerContinuous"/>
    </xf>
    <xf numFmtId="0" fontId="4" fillId="0" borderId="0" xfId="0" applyFont="1" applyAlignment="1">
      <alignment horizontal="lef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vertical="center"/>
    </xf>
    <xf numFmtId="0" fontId="2" fillId="0" borderId="13" xfId="0" applyFont="1" applyBorder="1" applyAlignment="1">
      <alignment horizontal="center"/>
    </xf>
    <xf numFmtId="0" fontId="2" fillId="0" borderId="14" xfId="0" applyFont="1" applyBorder="1" applyAlignment="1">
      <alignment/>
    </xf>
    <xf numFmtId="3" fontId="3" fillId="0" borderId="15" xfId="0" applyNumberFormat="1" applyFont="1" applyBorder="1" applyAlignment="1">
      <alignment/>
    </xf>
    <xf numFmtId="3" fontId="5" fillId="0" borderId="15" xfId="0" applyNumberFormat="1" applyFont="1" applyBorder="1" applyAlignment="1">
      <alignment/>
    </xf>
    <xf numFmtId="3" fontId="5" fillId="0" borderId="16" xfId="0" applyNumberFormat="1" applyFont="1" applyBorder="1" applyAlignment="1">
      <alignment/>
    </xf>
    <xf numFmtId="0" fontId="3" fillId="0" borderId="13" xfId="0" applyFont="1" applyBorder="1" applyAlignment="1">
      <alignment horizontal="center"/>
    </xf>
    <xf numFmtId="0" fontId="4" fillId="0" borderId="14" xfId="0" applyFont="1" applyBorder="1" applyAlignment="1">
      <alignment/>
    </xf>
    <xf numFmtId="3" fontId="4" fillId="0" borderId="15" xfId="0" applyNumberFormat="1" applyFont="1" applyBorder="1" applyAlignment="1">
      <alignment/>
    </xf>
    <xf numFmtId="0" fontId="4" fillId="0" borderId="0" xfId="0" applyFont="1" applyAlignment="1">
      <alignment/>
    </xf>
    <xf numFmtId="0" fontId="3" fillId="0" borderId="13" xfId="0" applyFont="1" applyBorder="1" applyAlignment="1" quotePrefix="1">
      <alignment horizontal="center"/>
    </xf>
    <xf numFmtId="0" fontId="3" fillId="0" borderId="15" xfId="0" applyFont="1" applyBorder="1" applyAlignment="1">
      <alignment horizontal="left" vertical="center" wrapText="1"/>
    </xf>
    <xf numFmtId="0" fontId="3" fillId="0" borderId="13" xfId="0" applyFont="1" applyBorder="1" applyAlignment="1">
      <alignment/>
    </xf>
    <xf numFmtId="0" fontId="4" fillId="0" borderId="0" xfId="0" applyFont="1" applyAlignment="1" quotePrefix="1">
      <alignment/>
    </xf>
    <xf numFmtId="0" fontId="3" fillId="0" borderId="0" xfId="63" applyFont="1" applyAlignment="1">
      <alignment horizontal="centerContinuous"/>
      <protection/>
    </xf>
    <xf numFmtId="0" fontId="3" fillId="0" borderId="0" xfId="63" applyFont="1">
      <alignment/>
      <protection/>
    </xf>
    <xf numFmtId="0" fontId="114" fillId="0" borderId="0" xfId="67" applyFont="1" applyAlignment="1">
      <alignment vertical="center"/>
      <protection/>
    </xf>
    <xf numFmtId="0" fontId="119" fillId="0" borderId="0" xfId="67" applyFont="1" applyAlignment="1">
      <alignment horizontal="center" vertical="center" wrapText="1"/>
      <protection/>
    </xf>
    <xf numFmtId="0" fontId="2" fillId="0" borderId="0" xfId="66" applyFont="1" applyFill="1" applyAlignment="1">
      <alignment vertical="center"/>
      <protection/>
    </xf>
    <xf numFmtId="0" fontId="3" fillId="0" borderId="0" xfId="66" applyFont="1" applyFill="1" applyAlignment="1">
      <alignment vertical="center"/>
      <protection/>
    </xf>
    <xf numFmtId="0" fontId="3" fillId="0" borderId="0" xfId="66" applyFont="1" applyFill="1">
      <alignment/>
      <protection/>
    </xf>
    <xf numFmtId="0" fontId="3" fillId="0" borderId="0" xfId="66" applyFont="1" applyFill="1" applyAlignment="1">
      <alignment vertical="center" wrapText="1"/>
      <protection/>
    </xf>
    <xf numFmtId="182" fontId="3" fillId="0" borderId="0" xfId="66" applyNumberFormat="1" applyFont="1" applyFill="1">
      <alignment/>
      <protection/>
    </xf>
    <xf numFmtId="182" fontId="2" fillId="0" borderId="17" xfId="66" applyNumberFormat="1" applyFont="1" applyFill="1" applyBorder="1" applyAlignment="1" applyProtection="1">
      <alignment horizontal="center" vertical="center"/>
      <protection/>
    </xf>
    <xf numFmtId="0" fontId="3" fillId="0" borderId="18" xfId="66" applyFont="1" applyFill="1" applyBorder="1" applyAlignment="1">
      <alignment vertical="center"/>
      <protection/>
    </xf>
    <xf numFmtId="182" fontId="4" fillId="0" borderId="19" xfId="66" applyNumberFormat="1" applyFont="1" applyFill="1" applyBorder="1" applyAlignment="1">
      <alignment horizontal="center" vertical="center"/>
      <protection/>
    </xf>
    <xf numFmtId="182" fontId="2" fillId="0" borderId="19" xfId="66" applyNumberFormat="1" applyFont="1" applyFill="1" applyBorder="1" applyAlignment="1">
      <alignment horizontal="center" vertical="center"/>
      <protection/>
    </xf>
    <xf numFmtId="182" fontId="3" fillId="0" borderId="20" xfId="66" applyNumberFormat="1" applyFont="1" applyFill="1" applyBorder="1" applyAlignment="1" applyProtection="1">
      <alignment horizontal="justify" vertical="center"/>
      <protection/>
    </xf>
    <xf numFmtId="0" fontId="3" fillId="0" borderId="21" xfId="66" applyFont="1" applyFill="1" applyBorder="1">
      <alignment/>
      <protection/>
    </xf>
    <xf numFmtId="0" fontId="3" fillId="0" borderId="22" xfId="66" applyFont="1" applyFill="1" applyBorder="1">
      <alignment/>
      <protection/>
    </xf>
    <xf numFmtId="0" fontId="2" fillId="0" borderId="0" xfId="0" applyFont="1" applyAlignment="1">
      <alignment/>
    </xf>
    <xf numFmtId="0" fontId="4" fillId="0" borderId="0" xfId="0" applyFont="1" applyBorder="1" applyAlignment="1">
      <alignment horizontal="center"/>
    </xf>
    <xf numFmtId="0" fontId="4" fillId="0" borderId="0" xfId="0" applyFont="1" applyBorder="1" applyAlignment="1">
      <alignment horizontal="right"/>
    </xf>
    <xf numFmtId="0" fontId="2" fillId="0" borderId="12" xfId="0" applyFont="1" applyBorder="1" applyAlignment="1" quotePrefix="1">
      <alignment horizontal="center" vertical="center"/>
    </xf>
    <xf numFmtId="0" fontId="2" fillId="0" borderId="0" xfId="0" applyFont="1" applyAlignment="1">
      <alignment/>
    </xf>
    <xf numFmtId="0" fontId="2" fillId="0" borderId="0" xfId="0" applyFont="1" applyBorder="1" applyAlignment="1">
      <alignment horizontal="center"/>
    </xf>
    <xf numFmtId="0" fontId="3" fillId="0" borderId="0" xfId="0" applyFont="1" applyBorder="1" applyAlignment="1">
      <alignment/>
    </xf>
    <xf numFmtId="0" fontId="2" fillId="0" borderId="0" xfId="63" applyFont="1" applyAlignment="1" quotePrefix="1">
      <alignment horizontal="centerContinuous"/>
      <protection/>
    </xf>
    <xf numFmtId="0" fontId="4" fillId="0" borderId="0" xfId="63" applyFont="1" applyAlignment="1">
      <alignment horizontal="left"/>
      <protection/>
    </xf>
    <xf numFmtId="0" fontId="2" fillId="0" borderId="12" xfId="63" applyFont="1" applyBorder="1" applyAlignment="1">
      <alignment horizontal="center" vertical="center"/>
      <protection/>
    </xf>
    <xf numFmtId="0" fontId="2" fillId="0" borderId="0" xfId="63" applyFont="1" applyAlignment="1">
      <alignment vertical="center"/>
      <protection/>
    </xf>
    <xf numFmtId="0" fontId="4" fillId="0" borderId="0" xfId="63" applyFont="1">
      <alignment/>
      <protection/>
    </xf>
    <xf numFmtId="0" fontId="2" fillId="0" borderId="0" xfId="65" applyNumberFormat="1" applyFont="1" applyFill="1" applyBorder="1" applyAlignment="1">
      <alignment vertical="center" wrapText="1"/>
    </xf>
    <xf numFmtId="0" fontId="4" fillId="0" borderId="0" xfId="63" applyFont="1" applyBorder="1" applyAlignment="1">
      <alignment horizontal="center"/>
      <protection/>
    </xf>
    <xf numFmtId="0" fontId="114" fillId="0" borderId="0" xfId="67" applyFont="1">
      <alignment/>
      <protection/>
    </xf>
    <xf numFmtId="0" fontId="114" fillId="0" borderId="0" xfId="67" applyFont="1" applyAlignment="1">
      <alignment vertical="center" wrapText="1"/>
      <protection/>
    </xf>
    <xf numFmtId="0" fontId="2" fillId="0" borderId="0" xfId="0" applyFont="1" applyAlignment="1">
      <alignment horizontal="center"/>
    </xf>
    <xf numFmtId="0" fontId="114" fillId="0" borderId="0" xfId="67" applyFont="1" applyAlignment="1">
      <alignment horizontal="center" vertical="center" wrapText="1"/>
      <protection/>
    </xf>
    <xf numFmtId="0" fontId="4" fillId="0" borderId="0" xfId="63" applyFont="1" applyBorder="1" applyAlignment="1">
      <alignment/>
      <protection/>
    </xf>
    <xf numFmtId="0" fontId="120" fillId="0" borderId="0" xfId="67" applyFont="1" applyAlignment="1">
      <alignment horizontal="center" vertical="center" wrapText="1"/>
      <protection/>
    </xf>
    <xf numFmtId="0" fontId="2" fillId="0" borderId="12" xfId="67" applyFont="1" applyBorder="1" applyAlignment="1">
      <alignment horizontal="center" vertical="center" wrapText="1"/>
      <protection/>
    </xf>
    <xf numFmtId="0" fontId="120" fillId="0" borderId="12" xfId="67" applyFont="1" applyBorder="1" applyAlignment="1">
      <alignment horizontal="center" vertical="center" wrapText="1"/>
      <protection/>
    </xf>
    <xf numFmtId="0" fontId="3" fillId="0" borderId="0" xfId="66" applyNumberFormat="1" applyFont="1" applyFill="1" applyAlignment="1">
      <alignment vertical="center"/>
      <protection/>
    </xf>
    <xf numFmtId="0" fontId="2" fillId="0" borderId="0" xfId="66" applyNumberFormat="1" applyFont="1" applyFill="1" applyAlignment="1">
      <alignment horizontal="right" vertical="center"/>
      <protection/>
    </xf>
    <xf numFmtId="0" fontId="0" fillId="0" borderId="0" xfId="0" applyFont="1" applyAlignment="1">
      <alignment/>
    </xf>
    <xf numFmtId="182" fontId="4" fillId="0" borderId="23" xfId="66" applyNumberFormat="1" applyFont="1" applyFill="1" applyBorder="1" applyAlignment="1">
      <alignment horizontal="right" vertical="center"/>
      <protection/>
    </xf>
    <xf numFmtId="182" fontId="2" fillId="0" borderId="24" xfId="66" applyNumberFormat="1" applyFont="1" applyFill="1" applyBorder="1" applyAlignment="1" applyProtection="1">
      <alignment horizontal="center" vertical="center" wrapText="1"/>
      <protection/>
    </xf>
    <xf numFmtId="182" fontId="2" fillId="0" borderId="25" xfId="66" applyNumberFormat="1" applyFont="1" applyFill="1" applyBorder="1" applyAlignment="1" applyProtection="1">
      <alignment horizontal="center" vertical="center" wrapText="1"/>
      <protection/>
    </xf>
    <xf numFmtId="0" fontId="2" fillId="0" borderId="26" xfId="66" applyFont="1" applyFill="1" applyBorder="1" applyAlignment="1">
      <alignment horizontal="center" vertical="center" wrapText="1"/>
      <protection/>
    </xf>
    <xf numFmtId="182" fontId="2" fillId="0" borderId="26" xfId="66" applyNumberFormat="1" applyFont="1" applyFill="1" applyBorder="1" applyAlignment="1" applyProtection="1">
      <alignment horizontal="center" vertical="center" wrapText="1"/>
      <protection/>
    </xf>
    <xf numFmtId="0" fontId="2" fillId="0" borderId="27" xfId="66" applyFont="1" applyFill="1" applyBorder="1" applyAlignment="1">
      <alignment horizontal="center" vertical="center" wrapText="1"/>
      <protection/>
    </xf>
    <xf numFmtId="0" fontId="2" fillId="0" borderId="0" xfId="66" applyFont="1" applyFill="1">
      <alignment/>
      <protection/>
    </xf>
    <xf numFmtId="182" fontId="3" fillId="0" borderId="13" xfId="66" applyNumberFormat="1" applyFont="1" applyFill="1" applyBorder="1" applyAlignment="1" applyProtection="1">
      <alignment horizontal="center" vertical="center" wrapText="1"/>
      <protection/>
    </xf>
    <xf numFmtId="182" fontId="3" fillId="0" borderId="15" xfId="66" applyNumberFormat="1" applyFont="1" applyFill="1" applyBorder="1" applyAlignment="1" applyProtection="1">
      <alignment vertical="center" wrapText="1"/>
      <protection/>
    </xf>
    <xf numFmtId="0" fontId="3" fillId="0" borderId="16" xfId="66" applyFont="1" applyFill="1" applyBorder="1" applyAlignment="1">
      <alignment vertical="center" wrapText="1"/>
      <protection/>
    </xf>
    <xf numFmtId="182" fontId="3" fillId="0" borderId="28" xfId="66" applyNumberFormat="1" applyFont="1" applyFill="1" applyBorder="1" applyAlignment="1" applyProtection="1">
      <alignment horizontal="center" vertical="center" wrapText="1"/>
      <protection/>
    </xf>
    <xf numFmtId="182" fontId="3" fillId="0" borderId="29" xfId="66" applyNumberFormat="1" applyFont="1" applyFill="1" applyBorder="1" applyAlignment="1" applyProtection="1">
      <alignment vertical="center" wrapText="1"/>
      <protection/>
    </xf>
    <xf numFmtId="0" fontId="3" fillId="0" borderId="30" xfId="66" applyFont="1" applyFill="1" applyBorder="1" applyAlignment="1">
      <alignment vertical="center" wrapText="1"/>
      <protection/>
    </xf>
    <xf numFmtId="182" fontId="2" fillId="0" borderId="0" xfId="66" applyNumberFormat="1" applyFont="1" applyFill="1" applyAlignment="1">
      <alignment horizontal="center" vertical="center" wrapText="1"/>
      <protection/>
    </xf>
    <xf numFmtId="182" fontId="2" fillId="0" borderId="0" xfId="66" applyNumberFormat="1" applyFont="1" applyFill="1" applyAlignment="1">
      <alignment vertical="center" wrapText="1"/>
      <protection/>
    </xf>
    <xf numFmtId="182" fontId="2" fillId="0" borderId="10" xfId="66" applyNumberFormat="1" applyFont="1" applyFill="1" applyBorder="1" applyAlignment="1" applyProtection="1">
      <alignment horizontal="center" vertical="center" wrapText="1"/>
      <protection/>
    </xf>
    <xf numFmtId="182" fontId="2" fillId="0" borderId="12" xfId="66" applyNumberFormat="1" applyFont="1" applyFill="1" applyBorder="1" applyAlignment="1" applyProtection="1">
      <alignment horizontal="center" vertical="center" wrapText="1"/>
      <protection/>
    </xf>
    <xf numFmtId="182" fontId="2" fillId="0" borderId="31" xfId="66" applyNumberFormat="1" applyFont="1" applyFill="1" applyBorder="1" applyAlignment="1">
      <alignment horizontal="center" vertical="center" wrapText="1"/>
      <protection/>
    </xf>
    <xf numFmtId="0" fontId="4" fillId="0" borderId="0" xfId="66" applyFont="1" applyFill="1">
      <alignment/>
      <protection/>
    </xf>
    <xf numFmtId="0" fontId="2" fillId="0" borderId="0" xfId="66" applyFont="1" applyFill="1">
      <alignment/>
      <protection/>
    </xf>
    <xf numFmtId="182" fontId="2" fillId="0" borderId="32" xfId="66" applyNumberFormat="1" applyFont="1" applyFill="1" applyBorder="1" applyAlignment="1">
      <alignment horizontal="left" vertical="center"/>
      <protection/>
    </xf>
    <xf numFmtId="182" fontId="2" fillId="0" borderId="32" xfId="66" applyNumberFormat="1" applyFont="1" applyFill="1" applyBorder="1" applyAlignment="1">
      <alignment horizontal="center" vertical="center"/>
      <protection/>
    </xf>
    <xf numFmtId="182" fontId="4" fillId="0" borderId="33" xfId="66" applyNumberFormat="1" applyFont="1" applyFill="1" applyBorder="1" applyAlignment="1" applyProtection="1">
      <alignment horizontal="left" vertical="center"/>
      <protection/>
    </xf>
    <xf numFmtId="0" fontId="4" fillId="0" borderId="33" xfId="66" applyFont="1" applyFill="1" applyBorder="1">
      <alignment/>
      <protection/>
    </xf>
    <xf numFmtId="0" fontId="4" fillId="0" borderId="34" xfId="66" applyFont="1" applyFill="1" applyBorder="1">
      <alignment/>
      <protection/>
    </xf>
    <xf numFmtId="182" fontId="4" fillId="0" borderId="33" xfId="66" applyNumberFormat="1" applyFont="1" applyFill="1" applyBorder="1" applyAlignment="1" applyProtection="1" quotePrefix="1">
      <alignment horizontal="left" vertical="center"/>
      <protection/>
    </xf>
    <xf numFmtId="182" fontId="2" fillId="0" borderId="33" xfId="66" applyNumberFormat="1" applyFont="1" applyFill="1" applyBorder="1" applyAlignment="1" applyProtection="1">
      <alignment horizontal="left" vertical="center"/>
      <protection/>
    </xf>
    <xf numFmtId="0" fontId="2" fillId="0" borderId="33" xfId="66" applyFont="1" applyFill="1" applyBorder="1">
      <alignment/>
      <protection/>
    </xf>
    <xf numFmtId="0" fontId="2" fillId="0" borderId="34" xfId="66" applyFont="1" applyFill="1" applyBorder="1">
      <alignment/>
      <protection/>
    </xf>
    <xf numFmtId="0" fontId="3" fillId="0" borderId="33" xfId="66" applyFont="1" applyFill="1" applyBorder="1">
      <alignment/>
      <protection/>
    </xf>
    <xf numFmtId="0" fontId="3" fillId="0" borderId="34" xfId="66" applyFont="1" applyFill="1" applyBorder="1">
      <alignment/>
      <protection/>
    </xf>
    <xf numFmtId="182" fontId="3" fillId="0" borderId="21" xfId="66" applyNumberFormat="1" applyFont="1" applyFill="1" applyBorder="1" applyAlignment="1" applyProtection="1">
      <alignment horizontal="justify" vertical="center"/>
      <protection/>
    </xf>
    <xf numFmtId="182" fontId="2" fillId="0" borderId="12" xfId="66" applyNumberFormat="1" applyFont="1" applyFill="1" applyBorder="1" applyAlignment="1" applyProtection="1">
      <alignment horizontal="center" vertical="center"/>
      <protection/>
    </xf>
    <xf numFmtId="182" fontId="2" fillId="0" borderId="12" xfId="66" applyNumberFormat="1" applyFont="1" applyFill="1" applyBorder="1" applyAlignment="1">
      <alignment horizontal="center" vertical="center"/>
      <protection/>
    </xf>
    <xf numFmtId="182" fontId="3" fillId="0" borderId="12" xfId="66" applyNumberFormat="1" applyFont="1" applyFill="1" applyBorder="1" applyAlignment="1">
      <alignment horizontal="center" vertical="center"/>
      <protection/>
    </xf>
    <xf numFmtId="182" fontId="3" fillId="0" borderId="12" xfId="66" applyNumberFormat="1" applyFont="1" applyFill="1" applyBorder="1" applyAlignment="1" applyProtection="1">
      <alignment horizontal="left" vertical="center"/>
      <protection/>
    </xf>
    <xf numFmtId="182" fontId="4" fillId="0" borderId="12" xfId="66" applyNumberFormat="1" applyFont="1" applyFill="1" applyBorder="1" applyAlignment="1" quotePrefix="1">
      <alignment horizontal="center" vertical="center"/>
      <protection/>
    </xf>
    <xf numFmtId="182" fontId="4" fillId="0" borderId="12" xfId="66" applyNumberFormat="1" applyFont="1" applyFill="1" applyBorder="1" applyAlignment="1" applyProtection="1">
      <alignment horizontal="left" vertical="center"/>
      <protection/>
    </xf>
    <xf numFmtId="0" fontId="4" fillId="0" borderId="12" xfId="66" applyFont="1" applyFill="1" applyBorder="1">
      <alignment/>
      <protection/>
    </xf>
    <xf numFmtId="0" fontId="2" fillId="0" borderId="12" xfId="66" applyFont="1" applyFill="1" applyBorder="1">
      <alignment/>
      <protection/>
    </xf>
    <xf numFmtId="0" fontId="3" fillId="0" borderId="12" xfId="66" applyFont="1" applyFill="1" applyBorder="1">
      <alignment/>
      <protection/>
    </xf>
    <xf numFmtId="0" fontId="114" fillId="0" borderId="12" xfId="67" applyFont="1" applyBorder="1" applyAlignment="1">
      <alignment horizontal="center" vertical="center"/>
      <protection/>
    </xf>
    <xf numFmtId="0" fontId="2" fillId="0" borderId="12" xfId="63" applyFont="1" applyBorder="1" applyAlignment="1">
      <alignment horizontal="center"/>
      <protection/>
    </xf>
    <xf numFmtId="0" fontId="3" fillId="0" borderId="12" xfId="0" applyFont="1" applyBorder="1" applyAlignment="1">
      <alignment horizontal="center"/>
    </xf>
    <xf numFmtId="0" fontId="3" fillId="0" borderId="12" xfId="0" applyFont="1" applyBorder="1" applyAlignment="1">
      <alignment/>
    </xf>
    <xf numFmtId="0" fontId="2" fillId="0" borderId="12" xfId="0" applyFont="1" applyBorder="1" applyAlignment="1">
      <alignment horizontal="center"/>
    </xf>
    <xf numFmtId="3" fontId="3" fillId="0" borderId="12" xfId="0" applyNumberFormat="1" applyFont="1" applyBorder="1" applyAlignment="1">
      <alignment/>
    </xf>
    <xf numFmtId="0" fontId="2" fillId="0" borderId="12" xfId="0" applyFont="1" applyBorder="1" applyAlignment="1">
      <alignment/>
    </xf>
    <xf numFmtId="3" fontId="2" fillId="0" borderId="12" xfId="0" applyNumberFormat="1" applyFont="1" applyBorder="1" applyAlignment="1">
      <alignment/>
    </xf>
    <xf numFmtId="0" fontId="2" fillId="0" borderId="12" xfId="0" applyFont="1" applyBorder="1" applyAlignment="1">
      <alignment horizontal="left" vertical="center" wrapText="1"/>
    </xf>
    <xf numFmtId="3" fontId="5" fillId="0" borderId="12" xfId="0" applyNumberFormat="1" applyFont="1" applyBorder="1" applyAlignment="1">
      <alignment/>
    </xf>
    <xf numFmtId="0" fontId="4" fillId="0" borderId="12" xfId="0" applyFont="1" applyBorder="1" applyAlignment="1">
      <alignment/>
    </xf>
    <xf numFmtId="3" fontId="4" fillId="0" borderId="12" xfId="0" applyNumberFormat="1" applyFont="1" applyBorder="1" applyAlignment="1">
      <alignment/>
    </xf>
    <xf numFmtId="0" fontId="3" fillId="0" borderId="12" xfId="0" applyFont="1" applyBorder="1" applyAlignment="1" quotePrefix="1">
      <alignment horizontal="center"/>
    </xf>
    <xf numFmtId="0" fontId="3" fillId="0" borderId="12" xfId="0" applyFont="1" applyBorder="1" applyAlignment="1">
      <alignment horizontal="center" vertical="center"/>
    </xf>
    <xf numFmtId="0" fontId="3" fillId="0" borderId="12" xfId="0" applyFont="1" applyBorder="1" applyAlignment="1">
      <alignment horizontal="left" vertical="center" wrapText="1"/>
    </xf>
    <xf numFmtId="0" fontId="4" fillId="0" borderId="0" xfId="63" applyFont="1" applyBorder="1" applyAlignment="1">
      <alignment horizontal="right"/>
      <protection/>
    </xf>
    <xf numFmtId="182" fontId="3" fillId="0" borderId="12" xfId="66" applyNumberFormat="1" applyFont="1" applyFill="1" applyBorder="1" applyAlignment="1" applyProtection="1">
      <alignment horizontal="center" vertical="center" wrapText="1"/>
      <protection/>
    </xf>
    <xf numFmtId="0" fontId="3" fillId="0" borderId="12" xfId="0" applyFont="1" applyBorder="1" applyAlignment="1" quotePrefix="1">
      <alignment horizontal="center" vertical="center"/>
    </xf>
    <xf numFmtId="0" fontId="3" fillId="0" borderId="12" xfId="0" applyFont="1" applyBorder="1" applyAlignment="1">
      <alignment vertical="center"/>
    </xf>
    <xf numFmtId="0" fontId="2" fillId="0" borderId="12" xfId="0" applyFont="1" applyBorder="1" applyAlignment="1">
      <alignment vertical="center"/>
    </xf>
    <xf numFmtId="0" fontId="3" fillId="0" borderId="0" xfId="0" applyFont="1" applyAlignment="1">
      <alignment vertical="center"/>
    </xf>
    <xf numFmtId="0" fontId="3" fillId="0" borderId="0" xfId="0" applyFont="1" applyAlignment="1">
      <alignment horizontal="center"/>
    </xf>
    <xf numFmtId="179" fontId="2" fillId="0" borderId="12" xfId="41" applyFont="1" applyBorder="1" applyAlignment="1">
      <alignment/>
    </xf>
    <xf numFmtId="184" fontId="2" fillId="0" borderId="12" xfId="41" applyNumberFormat="1" applyFont="1" applyBorder="1" applyAlignment="1">
      <alignment/>
    </xf>
    <xf numFmtId="0" fontId="121" fillId="0" borderId="12" xfId="0" applyFont="1" applyBorder="1" applyAlignment="1">
      <alignment vertical="center" wrapText="1"/>
    </xf>
    <xf numFmtId="0" fontId="3" fillId="0" borderId="12" xfId="0" applyFont="1" applyBorder="1" applyAlignment="1">
      <alignment vertical="center" wrapText="1"/>
    </xf>
    <xf numFmtId="3" fontId="3" fillId="0" borderId="12" xfId="0" applyNumberFormat="1" applyFont="1" applyBorder="1" applyAlignment="1">
      <alignment vertical="center"/>
    </xf>
    <xf numFmtId="3" fontId="5" fillId="0" borderId="12" xfId="0" applyNumberFormat="1" applyFont="1" applyBorder="1" applyAlignment="1">
      <alignment vertical="center"/>
    </xf>
    <xf numFmtId="3" fontId="2" fillId="0" borderId="12" xfId="0" applyNumberFormat="1" applyFont="1" applyBorder="1" applyAlignment="1">
      <alignment vertical="center"/>
    </xf>
    <xf numFmtId="179" fontId="3" fillId="0" borderId="12" xfId="41" applyFont="1" applyBorder="1" applyAlignment="1">
      <alignment/>
    </xf>
    <xf numFmtId="179" fontId="3" fillId="0" borderId="12" xfId="41" applyFont="1" applyBorder="1" applyAlignment="1">
      <alignment vertical="center"/>
    </xf>
    <xf numFmtId="184" fontId="3" fillId="0" borderId="12" xfId="41" applyNumberFormat="1" applyFont="1" applyBorder="1" applyAlignment="1">
      <alignment/>
    </xf>
    <xf numFmtId="184" fontId="3" fillId="0" borderId="12" xfId="41" applyNumberFormat="1" applyFont="1" applyBorder="1" applyAlignment="1">
      <alignment vertical="center"/>
    </xf>
    <xf numFmtId="184" fontId="2" fillId="0" borderId="12" xfId="41" applyNumberFormat="1" applyFont="1" applyBorder="1" applyAlignment="1">
      <alignment horizontal="left" vertical="center" wrapText="1"/>
    </xf>
    <xf numFmtId="0" fontId="3" fillId="0" borderId="12" xfId="0" applyFont="1" applyFill="1" applyBorder="1" applyAlignment="1">
      <alignment/>
    </xf>
    <xf numFmtId="0" fontId="3" fillId="0" borderId="12" xfId="69" applyFont="1" applyBorder="1" applyAlignment="1">
      <alignment shrinkToFit="1"/>
      <protection/>
    </xf>
    <xf numFmtId="171" fontId="13" fillId="0" borderId="35" xfId="41" applyNumberFormat="1" applyFont="1" applyBorder="1" applyAlignment="1">
      <alignment shrinkToFit="1"/>
    </xf>
    <xf numFmtId="179" fontId="2" fillId="0" borderId="12" xfId="41" applyFont="1" applyBorder="1" applyAlignment="1">
      <alignment vertical="center"/>
    </xf>
    <xf numFmtId="0" fontId="3" fillId="0" borderId="0" xfId="63" applyFont="1" applyAlignment="1">
      <alignment vertical="center"/>
      <protection/>
    </xf>
    <xf numFmtId="182" fontId="4" fillId="0" borderId="0" xfId="66" applyNumberFormat="1" applyFont="1" applyFill="1" applyBorder="1" applyAlignment="1">
      <alignment horizontal="right" vertical="center"/>
      <protection/>
    </xf>
    <xf numFmtId="0" fontId="2" fillId="0" borderId="12" xfId="66" applyFont="1" applyFill="1" applyBorder="1" applyAlignment="1">
      <alignment horizontal="center" vertical="center" wrapText="1"/>
      <protection/>
    </xf>
    <xf numFmtId="182" fontId="3" fillId="0" borderId="12" xfId="66" applyNumberFormat="1" applyFont="1" applyFill="1" applyBorder="1" applyAlignment="1" applyProtection="1">
      <alignment vertical="center" wrapText="1"/>
      <protection/>
    </xf>
    <xf numFmtId="0" fontId="3" fillId="0" borderId="12" xfId="66" applyFont="1" applyFill="1" applyBorder="1" applyAlignment="1">
      <alignment vertical="center" wrapText="1"/>
      <protection/>
    </xf>
    <xf numFmtId="182" fontId="2" fillId="0" borderId="12" xfId="66" applyNumberFormat="1" applyFont="1" applyFill="1" applyBorder="1" applyAlignment="1">
      <alignment horizontal="center" vertical="center" wrapText="1"/>
      <protection/>
    </xf>
    <xf numFmtId="182" fontId="3" fillId="0" borderId="12" xfId="66" applyNumberFormat="1" applyFont="1" applyFill="1" applyBorder="1" applyAlignment="1" applyProtection="1">
      <alignment horizontal="justify" vertical="center"/>
      <protection/>
    </xf>
    <xf numFmtId="3" fontId="3" fillId="0" borderId="0" xfId="0" applyNumberFormat="1" applyFont="1" applyAlignment="1">
      <alignment/>
    </xf>
    <xf numFmtId="186" fontId="3" fillId="0" borderId="12" xfId="69" applyNumberFormat="1" applyFont="1" applyBorder="1" applyAlignment="1">
      <alignment horizontal="center"/>
      <protection/>
    </xf>
    <xf numFmtId="186" fontId="3" fillId="0" borderId="12" xfId="69" applyNumberFormat="1" applyFont="1" applyBorder="1" applyAlignment="1">
      <alignment horizontal="center" vertical="center"/>
      <protection/>
    </xf>
    <xf numFmtId="3" fontId="2" fillId="0" borderId="0" xfId="0" applyNumberFormat="1" applyFont="1" applyAlignment="1">
      <alignment/>
    </xf>
    <xf numFmtId="3" fontId="3" fillId="0" borderId="12" xfId="0" applyNumberFormat="1" applyFont="1" applyFill="1" applyBorder="1" applyAlignment="1">
      <alignment/>
    </xf>
    <xf numFmtId="3" fontId="2" fillId="0" borderId="12" xfId="0" applyNumberFormat="1" applyFont="1" applyFill="1" applyBorder="1" applyAlignment="1">
      <alignment/>
    </xf>
    <xf numFmtId="0" fontId="2" fillId="0" borderId="0" xfId="0" applyFont="1" applyFill="1" applyAlignment="1">
      <alignment/>
    </xf>
    <xf numFmtId="3" fontId="2" fillId="0" borderId="11" xfId="0" applyNumberFormat="1" applyFont="1" applyBorder="1" applyAlignment="1">
      <alignment/>
    </xf>
    <xf numFmtId="3" fontId="3" fillId="0" borderId="11" xfId="0" applyNumberFormat="1" applyFont="1" applyFill="1" applyBorder="1" applyAlignment="1">
      <alignment/>
    </xf>
    <xf numFmtId="3" fontId="2" fillId="0" borderId="11" xfId="0" applyNumberFormat="1" applyFont="1" applyFill="1" applyBorder="1" applyAlignment="1">
      <alignment/>
    </xf>
    <xf numFmtId="1" fontId="3" fillId="0" borderId="12" xfId="0" applyNumberFormat="1" applyFont="1" applyBorder="1" applyAlignment="1">
      <alignment vertical="center"/>
    </xf>
    <xf numFmtId="0" fontId="3" fillId="0" borderId="12" xfId="0" applyFont="1" applyFill="1" applyBorder="1" applyAlignment="1">
      <alignment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3" fontId="3" fillId="0" borderId="0" xfId="0" applyNumberFormat="1" applyFont="1" applyAlignment="1">
      <alignment vertical="center"/>
    </xf>
    <xf numFmtId="0" fontId="3" fillId="0" borderId="12" xfId="69" applyFont="1" applyBorder="1" applyAlignment="1">
      <alignment vertical="center" shrinkToFit="1"/>
      <protection/>
    </xf>
    <xf numFmtId="0" fontId="18" fillId="0" borderId="12" xfId="0" applyFont="1" applyBorder="1" applyAlignment="1">
      <alignment horizontal="center" vertical="center" wrapText="1"/>
    </xf>
    <xf numFmtId="171" fontId="122" fillId="33" borderId="0" xfId="41" applyNumberFormat="1" applyFont="1" applyFill="1" applyAlignment="1">
      <alignment/>
    </xf>
    <xf numFmtId="190" fontId="122" fillId="33" borderId="0" xfId="41" applyNumberFormat="1" applyFont="1" applyFill="1" applyAlignment="1">
      <alignment horizontal="center"/>
    </xf>
    <xf numFmtId="0" fontId="123" fillId="33" borderId="0" xfId="0" applyFont="1" applyFill="1" applyAlignment="1">
      <alignment/>
    </xf>
    <xf numFmtId="171" fontId="124" fillId="33" borderId="12" xfId="41" applyNumberFormat="1" applyFont="1" applyFill="1" applyBorder="1" applyAlignment="1">
      <alignment horizontal="center" vertical="center"/>
    </xf>
    <xf numFmtId="171" fontId="123" fillId="33" borderId="12" xfId="41" applyNumberFormat="1" applyFont="1" applyFill="1" applyBorder="1" applyAlignment="1">
      <alignment/>
    </xf>
    <xf numFmtId="190" fontId="123" fillId="33" borderId="12" xfId="41" applyNumberFormat="1" applyFont="1" applyFill="1" applyBorder="1" applyAlignment="1">
      <alignment vertical="center"/>
    </xf>
    <xf numFmtId="190" fontId="123" fillId="33" borderId="0" xfId="41" applyNumberFormat="1" applyFont="1" applyFill="1" applyAlignment="1">
      <alignment vertical="center"/>
    </xf>
    <xf numFmtId="191" fontId="19" fillId="33" borderId="0" xfId="41" applyNumberFormat="1" applyFont="1" applyFill="1" applyBorder="1" applyAlignment="1">
      <alignment horizontal="center" vertical="center" wrapText="1"/>
    </xf>
    <xf numFmtId="190" fontId="19" fillId="33" borderId="0" xfId="41" applyNumberFormat="1" applyFont="1" applyFill="1" applyBorder="1" applyAlignment="1">
      <alignment horizontal="center" vertical="center" wrapText="1"/>
    </xf>
    <xf numFmtId="171" fontId="125" fillId="33" borderId="0" xfId="41" applyNumberFormat="1" applyFont="1" applyFill="1" applyAlignment="1">
      <alignment/>
    </xf>
    <xf numFmtId="171" fontId="15" fillId="33" borderId="0" xfId="41" applyNumberFormat="1" applyFont="1" applyFill="1" applyBorder="1" applyAlignment="1">
      <alignment horizontal="center" vertical="center" wrapText="1"/>
    </xf>
    <xf numFmtId="190" fontId="15" fillId="33" borderId="0" xfId="41" applyNumberFormat="1" applyFont="1" applyFill="1" applyBorder="1" applyAlignment="1">
      <alignment horizontal="center" vertical="center" wrapText="1"/>
    </xf>
    <xf numFmtId="0" fontId="15" fillId="33" borderId="0" xfId="0" applyFont="1" applyFill="1" applyBorder="1" applyAlignment="1">
      <alignment horizontal="left" vertical="center" wrapText="1"/>
    </xf>
    <xf numFmtId="0" fontId="19" fillId="33" borderId="0" xfId="0" applyFont="1" applyFill="1" applyBorder="1" applyAlignment="1">
      <alignment horizontal="left" vertical="center" wrapText="1"/>
    </xf>
    <xf numFmtId="0" fontId="122" fillId="33" borderId="0" xfId="0" applyFont="1" applyFill="1" applyAlignment="1">
      <alignment/>
    </xf>
    <xf numFmtId="0" fontId="20" fillId="33" borderId="0" xfId="0" applyFont="1" applyFill="1" applyBorder="1" applyAlignment="1">
      <alignment horizontal="left" vertical="center" wrapText="1"/>
    </xf>
    <xf numFmtId="171" fontId="19" fillId="33" borderId="0" xfId="41" applyNumberFormat="1" applyFont="1" applyFill="1" applyBorder="1" applyAlignment="1">
      <alignment horizontal="left" vertical="center" wrapText="1"/>
    </xf>
    <xf numFmtId="191" fontId="122" fillId="33" borderId="0" xfId="41" applyNumberFormat="1" applyFont="1" applyFill="1" applyAlignment="1">
      <alignment/>
    </xf>
    <xf numFmtId="171" fontId="122" fillId="33" borderId="0" xfId="41" applyNumberFormat="1" applyFont="1" applyFill="1" applyAlignment="1">
      <alignment horizontal="center"/>
    </xf>
    <xf numFmtId="0" fontId="126" fillId="33" borderId="0" xfId="0" applyFont="1" applyFill="1" applyAlignment="1">
      <alignment/>
    </xf>
    <xf numFmtId="171" fontId="127" fillId="33" borderId="12" xfId="41" applyNumberFormat="1" applyFont="1" applyFill="1" applyBorder="1" applyAlignment="1">
      <alignment horizontal="center" vertical="center"/>
    </xf>
    <xf numFmtId="171" fontId="126" fillId="33" borderId="12" xfId="41" applyNumberFormat="1" applyFont="1" applyFill="1" applyBorder="1" applyAlignment="1">
      <alignment/>
    </xf>
    <xf numFmtId="190" fontId="126" fillId="33" borderId="12" xfId="41" applyNumberFormat="1" applyFont="1" applyFill="1" applyBorder="1" applyAlignment="1">
      <alignment vertical="center"/>
    </xf>
    <xf numFmtId="190" fontId="126" fillId="33" borderId="0" xfId="41" applyNumberFormat="1" applyFont="1" applyFill="1" applyAlignment="1">
      <alignment vertical="center"/>
    </xf>
    <xf numFmtId="0" fontId="123" fillId="33" borderId="0" xfId="0" applyFont="1" applyFill="1" applyAlignment="1">
      <alignment vertical="center"/>
    </xf>
    <xf numFmtId="171" fontId="123" fillId="33" borderId="0" xfId="41" applyNumberFormat="1" applyFont="1" applyFill="1" applyAlignment="1">
      <alignment/>
    </xf>
    <xf numFmtId="191" fontId="123" fillId="33" borderId="0" xfId="41" applyNumberFormat="1" applyFont="1" applyFill="1" applyAlignment="1">
      <alignment/>
    </xf>
    <xf numFmtId="190" fontId="123" fillId="33" borderId="0" xfId="41" applyNumberFormat="1" applyFont="1" applyFill="1" applyAlignment="1">
      <alignment horizontal="center"/>
    </xf>
    <xf numFmtId="171" fontId="123" fillId="33" borderId="0" xfId="41" applyNumberFormat="1" applyFont="1" applyFill="1" applyAlignment="1">
      <alignment horizontal="center"/>
    </xf>
    <xf numFmtId="171" fontId="128" fillId="33" borderId="0" xfId="41" applyNumberFormat="1" applyFont="1" applyFill="1" applyAlignment="1">
      <alignment/>
    </xf>
    <xf numFmtId="171" fontId="21" fillId="33" borderId="0" xfId="41" applyNumberFormat="1" applyFont="1" applyFill="1" applyAlignment="1">
      <alignment horizontal="left" vertical="center"/>
    </xf>
    <xf numFmtId="190" fontId="123" fillId="33" borderId="0" xfId="41" applyNumberFormat="1" applyFont="1" applyFill="1" applyAlignment="1">
      <alignment/>
    </xf>
    <xf numFmtId="0" fontId="129" fillId="33" borderId="0" xfId="0" applyFont="1" applyFill="1" applyAlignment="1">
      <alignment/>
    </xf>
    <xf numFmtId="171" fontId="130" fillId="33" borderId="12" xfId="41" applyNumberFormat="1" applyFont="1" applyFill="1" applyBorder="1" applyAlignment="1">
      <alignment horizontal="center" vertical="center"/>
    </xf>
    <xf numFmtId="171" fontId="129" fillId="33" borderId="12" xfId="41" applyNumberFormat="1" applyFont="1" applyFill="1" applyBorder="1" applyAlignment="1">
      <alignment/>
    </xf>
    <xf numFmtId="190" fontId="129" fillId="33" borderId="12" xfId="41" applyNumberFormat="1" applyFont="1" applyFill="1" applyBorder="1" applyAlignment="1">
      <alignment vertical="center"/>
    </xf>
    <xf numFmtId="190" fontId="129" fillId="33" borderId="0" xfId="41" applyNumberFormat="1" applyFont="1" applyFill="1" applyAlignment="1">
      <alignment vertical="center"/>
    </xf>
    <xf numFmtId="191" fontId="24" fillId="33" borderId="12" xfId="41" applyNumberFormat="1" applyFont="1" applyFill="1" applyBorder="1" applyAlignment="1">
      <alignment horizontal="center" vertical="center" wrapText="1"/>
    </xf>
    <xf numFmtId="185" fontId="129" fillId="33" borderId="0" xfId="41" applyNumberFormat="1" applyFont="1" applyFill="1" applyAlignment="1">
      <alignment horizontal="center" vertical="center"/>
    </xf>
    <xf numFmtId="185" fontId="130" fillId="33" borderId="12" xfId="41" applyNumberFormat="1" applyFont="1" applyFill="1" applyBorder="1" applyAlignment="1">
      <alignment horizontal="center" vertical="center"/>
    </xf>
    <xf numFmtId="185" fontId="130" fillId="33" borderId="0" xfId="41" applyNumberFormat="1" applyFont="1" applyFill="1" applyAlignment="1">
      <alignment horizontal="center" vertical="center"/>
    </xf>
    <xf numFmtId="185" fontId="129" fillId="33" borderId="12" xfId="41" applyNumberFormat="1" applyFont="1" applyFill="1" applyBorder="1" applyAlignment="1">
      <alignment horizontal="center" vertical="center"/>
    </xf>
    <xf numFmtId="185" fontId="129" fillId="33" borderId="0" xfId="41" applyNumberFormat="1" applyFont="1" applyFill="1" applyAlignment="1">
      <alignment/>
    </xf>
    <xf numFmtId="185" fontId="129" fillId="33" borderId="12" xfId="41" applyNumberFormat="1" applyFont="1" applyFill="1" applyBorder="1" applyAlignment="1">
      <alignment/>
    </xf>
    <xf numFmtId="185" fontId="23" fillId="33" borderId="12" xfId="0" applyNumberFormat="1" applyFont="1" applyFill="1" applyBorder="1" applyAlignment="1">
      <alignment horizontal="center" vertical="center" wrapText="1"/>
    </xf>
    <xf numFmtId="190" fontId="130" fillId="33" borderId="12" xfId="41" applyNumberFormat="1" applyFont="1" applyFill="1" applyBorder="1" applyAlignment="1">
      <alignment vertical="center"/>
    </xf>
    <xf numFmtId="171" fontId="129" fillId="33" borderId="0" xfId="0" applyNumberFormat="1" applyFont="1" applyFill="1" applyAlignment="1">
      <alignment/>
    </xf>
    <xf numFmtId="0" fontId="24" fillId="33" borderId="12" xfId="0" applyFont="1" applyFill="1" applyBorder="1" applyAlignment="1">
      <alignment vertical="center" wrapText="1"/>
    </xf>
    <xf numFmtId="0" fontId="23" fillId="0" borderId="12" xfId="0" applyFont="1" applyFill="1" applyBorder="1" applyAlignment="1">
      <alignment horizontal="center" vertical="center" wrapText="1"/>
    </xf>
    <xf numFmtId="0" fontId="24" fillId="0" borderId="12" xfId="0" applyFont="1" applyFill="1" applyBorder="1" applyAlignment="1">
      <alignment vertical="center" wrapText="1"/>
    </xf>
    <xf numFmtId="0" fontId="24" fillId="0" borderId="12" xfId="0" applyFont="1" applyFill="1" applyBorder="1" applyAlignment="1">
      <alignment horizontal="center" vertical="center" wrapText="1"/>
    </xf>
    <xf numFmtId="171" fontId="24" fillId="0" borderId="12" xfId="41" applyNumberFormat="1" applyFont="1" applyFill="1" applyBorder="1" applyAlignment="1">
      <alignment horizontal="center" vertical="center" wrapText="1"/>
    </xf>
    <xf numFmtId="191" fontId="24" fillId="0" borderId="12" xfId="41" applyNumberFormat="1" applyFont="1" applyFill="1" applyBorder="1" applyAlignment="1">
      <alignment horizontal="center" vertical="center" wrapText="1"/>
    </xf>
    <xf numFmtId="190" fontId="24" fillId="0" borderId="12" xfId="41" applyNumberFormat="1" applyFont="1" applyFill="1" applyBorder="1" applyAlignment="1">
      <alignment horizontal="center" vertical="center" wrapText="1"/>
    </xf>
    <xf numFmtId="171" fontId="131" fillId="0" borderId="12" xfId="41" applyNumberFormat="1" applyFont="1" applyFill="1" applyBorder="1" applyAlignment="1">
      <alignment horizontal="center" vertical="center" wrapText="1"/>
    </xf>
    <xf numFmtId="0" fontId="129" fillId="0" borderId="0" xfId="0" applyFont="1" applyFill="1" applyAlignment="1">
      <alignment/>
    </xf>
    <xf numFmtId="171" fontId="130" fillId="0" borderId="12" xfId="41" applyNumberFormat="1" applyFont="1" applyFill="1" applyBorder="1" applyAlignment="1">
      <alignment horizontal="center" vertical="center"/>
    </xf>
    <xf numFmtId="171" fontId="129" fillId="0" borderId="12" xfId="41" applyNumberFormat="1" applyFont="1" applyFill="1" applyBorder="1" applyAlignment="1">
      <alignment/>
    </xf>
    <xf numFmtId="185" fontId="129" fillId="0" borderId="0" xfId="0" applyNumberFormat="1" applyFont="1" applyFill="1" applyAlignment="1">
      <alignment/>
    </xf>
    <xf numFmtId="171" fontId="129" fillId="0" borderId="0" xfId="0" applyNumberFormat="1" applyFont="1" applyFill="1" applyAlignment="1">
      <alignment/>
    </xf>
    <xf numFmtId="190" fontId="129" fillId="0" borderId="12" xfId="41" applyNumberFormat="1" applyFont="1" applyFill="1" applyBorder="1" applyAlignment="1">
      <alignment vertical="center"/>
    </xf>
    <xf numFmtId="190" fontId="129" fillId="0" borderId="0" xfId="41" applyNumberFormat="1" applyFont="1" applyFill="1" applyAlignment="1">
      <alignment vertical="center"/>
    </xf>
    <xf numFmtId="0" fontId="23" fillId="33" borderId="12" xfId="0" applyFont="1" applyFill="1" applyBorder="1" applyAlignment="1">
      <alignment horizontal="left" vertical="center" wrapText="1"/>
    </xf>
    <xf numFmtId="171" fontId="23" fillId="33" borderId="12" xfId="41" applyNumberFormat="1" applyFont="1" applyFill="1" applyBorder="1" applyAlignment="1">
      <alignment horizontal="center" vertical="center" wrapText="1"/>
    </xf>
    <xf numFmtId="191" fontId="23" fillId="33" borderId="12" xfId="41" applyNumberFormat="1" applyFont="1" applyFill="1" applyBorder="1" applyAlignment="1">
      <alignment horizontal="center" vertical="center" wrapText="1"/>
    </xf>
    <xf numFmtId="190" fontId="23" fillId="33" borderId="12" xfId="41" applyNumberFormat="1" applyFont="1" applyFill="1" applyBorder="1" applyAlignment="1">
      <alignment horizontal="center" vertical="center" wrapText="1"/>
    </xf>
    <xf numFmtId="171" fontId="132" fillId="33" borderId="12" xfId="41" applyNumberFormat="1" applyFont="1" applyFill="1" applyBorder="1" applyAlignment="1">
      <alignment horizontal="center" vertical="center" wrapText="1"/>
    </xf>
    <xf numFmtId="3" fontId="24" fillId="33" borderId="12" xfId="68" applyNumberFormat="1" applyFont="1" applyFill="1" applyBorder="1" applyAlignment="1" quotePrefix="1">
      <alignment horizontal="left" vertical="center" wrapText="1"/>
      <protection/>
    </xf>
    <xf numFmtId="0" fontId="130" fillId="33" borderId="0" xfId="0" applyFont="1" applyFill="1" applyAlignment="1">
      <alignment/>
    </xf>
    <xf numFmtId="171" fontId="130" fillId="33" borderId="12" xfId="41" applyNumberFormat="1" applyFont="1" applyFill="1" applyBorder="1" applyAlignment="1">
      <alignment/>
    </xf>
    <xf numFmtId="190" fontId="130" fillId="33" borderId="0" xfId="41" applyNumberFormat="1" applyFont="1" applyFill="1" applyAlignment="1">
      <alignment vertical="center"/>
    </xf>
    <xf numFmtId="3" fontId="24" fillId="33" borderId="12" xfId="68" applyNumberFormat="1" applyFont="1" applyFill="1" applyBorder="1" applyAlignment="1">
      <alignment horizontal="left" vertical="center" wrapText="1"/>
      <protection/>
    </xf>
    <xf numFmtId="3" fontId="23" fillId="33" borderId="12" xfId="68" applyNumberFormat="1" applyFont="1" applyFill="1" applyBorder="1" applyAlignment="1" quotePrefix="1">
      <alignment horizontal="left" vertical="center" wrapText="1"/>
      <protection/>
    </xf>
    <xf numFmtId="0" fontId="23" fillId="33" borderId="12" xfId="61" applyNumberFormat="1" applyFont="1" applyFill="1" applyBorder="1" applyAlignment="1">
      <alignment horizontal="right" vertical="center" wrapText="1"/>
      <protection/>
    </xf>
    <xf numFmtId="171" fontId="129" fillId="33" borderId="12" xfId="41" applyNumberFormat="1" applyFont="1" applyFill="1" applyBorder="1" applyAlignment="1">
      <alignment horizontal="center" vertical="center"/>
    </xf>
    <xf numFmtId="192" fontId="129" fillId="33" borderId="0" xfId="41" applyNumberFormat="1" applyFont="1" applyFill="1" applyAlignment="1">
      <alignment/>
    </xf>
    <xf numFmtId="193" fontId="129" fillId="33" borderId="0" xfId="0" applyNumberFormat="1" applyFont="1" applyFill="1" applyAlignment="1">
      <alignment/>
    </xf>
    <xf numFmtId="194" fontId="129" fillId="33" borderId="0" xfId="41" applyNumberFormat="1" applyFont="1" applyFill="1" applyAlignment="1">
      <alignment/>
    </xf>
    <xf numFmtId="171" fontId="129" fillId="33" borderId="12" xfId="41" applyNumberFormat="1" applyFont="1" applyFill="1" applyBorder="1" applyAlignment="1">
      <alignment vertical="center"/>
    </xf>
    <xf numFmtId="0" fontId="23" fillId="33" borderId="12" xfId="0" applyFont="1" applyFill="1" applyBorder="1" applyAlignment="1">
      <alignment vertical="center"/>
    </xf>
    <xf numFmtId="0" fontId="23" fillId="33" borderId="12" xfId="61" applyNumberFormat="1" applyFont="1" applyFill="1" applyBorder="1" applyAlignment="1" quotePrefix="1">
      <alignment horizontal="right" vertical="center" wrapText="1"/>
      <protection/>
    </xf>
    <xf numFmtId="171" fontId="129" fillId="33" borderId="0" xfId="41" applyNumberFormat="1" applyFont="1" applyFill="1" applyAlignment="1">
      <alignment vertical="center"/>
    </xf>
    <xf numFmtId="0" fontId="129" fillId="33" borderId="0" xfId="0" applyFont="1" applyFill="1" applyAlignment="1">
      <alignment vertical="center"/>
    </xf>
    <xf numFmtId="3" fontId="23" fillId="33" borderId="12" xfId="68" applyNumberFormat="1" applyFont="1" applyFill="1" applyBorder="1" applyAlignment="1">
      <alignment horizontal="left" vertical="center" wrapText="1"/>
      <protection/>
    </xf>
    <xf numFmtId="0" fontId="25" fillId="33" borderId="12" xfId="0" applyFont="1" applyFill="1" applyBorder="1" applyAlignment="1">
      <alignment horizontal="center" vertical="center" wrapText="1"/>
    </xf>
    <xf numFmtId="0" fontId="26" fillId="33" borderId="12" xfId="0" applyFont="1" applyFill="1" applyBorder="1" applyAlignment="1">
      <alignment vertical="center" wrapText="1"/>
    </xf>
    <xf numFmtId="0" fontId="26" fillId="33" borderId="12" xfId="0" applyFont="1" applyFill="1" applyBorder="1" applyAlignment="1">
      <alignment horizontal="center" vertical="center" wrapText="1"/>
    </xf>
    <xf numFmtId="171" fontId="26" fillId="33" borderId="12" xfId="41" applyNumberFormat="1" applyFont="1" applyFill="1" applyBorder="1" applyAlignment="1">
      <alignment horizontal="center" vertical="center" wrapText="1"/>
    </xf>
    <xf numFmtId="191" fontId="26" fillId="33" borderId="12" xfId="41" applyNumberFormat="1" applyFont="1" applyFill="1" applyBorder="1" applyAlignment="1">
      <alignment horizontal="center" vertical="center" wrapText="1"/>
    </xf>
    <xf numFmtId="190" fontId="26" fillId="33" borderId="12" xfId="41" applyNumberFormat="1" applyFont="1" applyFill="1" applyBorder="1" applyAlignment="1">
      <alignment horizontal="center" vertical="center" wrapText="1"/>
    </xf>
    <xf numFmtId="171" fontId="133" fillId="33" borderId="12" xfId="41" applyNumberFormat="1" applyFont="1" applyFill="1" applyBorder="1" applyAlignment="1">
      <alignment horizontal="center" vertical="center" wrapText="1"/>
    </xf>
    <xf numFmtId="0" fontId="23" fillId="33" borderId="12" xfId="0" applyFont="1" applyFill="1" applyBorder="1" applyAlignment="1">
      <alignment vertical="center" wrapText="1"/>
    </xf>
    <xf numFmtId="0" fontId="23" fillId="33" borderId="33" xfId="0" applyFont="1" applyFill="1" applyBorder="1" applyAlignment="1">
      <alignment vertical="center"/>
    </xf>
    <xf numFmtId="0" fontId="23" fillId="33" borderId="33" xfId="61" applyNumberFormat="1" applyFont="1" applyFill="1" applyBorder="1" applyAlignment="1">
      <alignment horizontal="right" vertical="center" wrapText="1"/>
      <protection/>
    </xf>
    <xf numFmtId="0" fontId="23" fillId="33" borderId="12" xfId="43" applyNumberFormat="1" applyFont="1" applyFill="1" applyBorder="1" applyAlignment="1">
      <alignment horizontal="center" vertical="center"/>
    </xf>
    <xf numFmtId="0" fontId="132" fillId="33" borderId="12" xfId="0" applyFont="1" applyFill="1" applyBorder="1" applyAlignment="1">
      <alignment horizontal="center" vertical="center" wrapText="1"/>
    </xf>
    <xf numFmtId="0" fontId="131" fillId="33" borderId="12" xfId="0" applyFont="1" applyFill="1" applyBorder="1" applyAlignment="1">
      <alignment vertical="center" wrapText="1"/>
    </xf>
    <xf numFmtId="0" fontId="131" fillId="33" borderId="12" xfId="0" applyFont="1" applyFill="1" applyBorder="1" applyAlignment="1">
      <alignment horizontal="center" vertical="center" wrapText="1"/>
    </xf>
    <xf numFmtId="191" fontId="131" fillId="33" borderId="12" xfId="41" applyNumberFormat="1" applyFont="1" applyFill="1" applyBorder="1" applyAlignment="1">
      <alignment horizontal="center" vertical="center" wrapText="1"/>
    </xf>
    <xf numFmtId="190" fontId="131" fillId="33" borderId="12" xfId="41" applyNumberFormat="1" applyFont="1" applyFill="1" applyBorder="1" applyAlignment="1">
      <alignment horizontal="center" vertical="center" wrapText="1"/>
    </xf>
    <xf numFmtId="0" fontId="132" fillId="33" borderId="0" xfId="0" applyFont="1" applyFill="1" applyAlignment="1">
      <alignment/>
    </xf>
    <xf numFmtId="171" fontId="131" fillId="33" borderId="12" xfId="41" applyNumberFormat="1" applyFont="1" applyFill="1" applyBorder="1" applyAlignment="1">
      <alignment horizontal="center" vertical="center"/>
    </xf>
    <xf numFmtId="171" fontId="132" fillId="33" borderId="12" xfId="41" applyNumberFormat="1" applyFont="1" applyFill="1" applyBorder="1" applyAlignment="1">
      <alignment/>
    </xf>
    <xf numFmtId="171" fontId="132" fillId="33" borderId="0" xfId="0" applyNumberFormat="1" applyFont="1" applyFill="1" applyAlignment="1">
      <alignment/>
    </xf>
    <xf numFmtId="190" fontId="132" fillId="33" borderId="12" xfId="41" applyNumberFormat="1" applyFont="1" applyFill="1" applyBorder="1" applyAlignment="1">
      <alignment vertical="center"/>
    </xf>
    <xf numFmtId="190" fontId="132" fillId="33" borderId="0" xfId="41" applyNumberFormat="1" applyFont="1" applyFill="1" applyAlignment="1">
      <alignment vertical="center"/>
    </xf>
    <xf numFmtId="0" fontId="23" fillId="33" borderId="33" xfId="43" applyNumberFormat="1" applyFont="1" applyFill="1" applyBorder="1" applyAlignment="1">
      <alignment horizontal="right" vertical="center" wrapText="1"/>
    </xf>
    <xf numFmtId="193" fontId="129" fillId="34" borderId="0" xfId="0" applyNumberFormat="1" applyFont="1" applyFill="1" applyAlignment="1">
      <alignment/>
    </xf>
    <xf numFmtId="0" fontId="23" fillId="33" borderId="12" xfId="0" applyFont="1" applyFill="1" applyBorder="1" applyAlignment="1">
      <alignment horizontal="right" vertical="center" wrapText="1"/>
    </xf>
    <xf numFmtId="0" fontId="24" fillId="33" borderId="15" xfId="0" applyFont="1" applyFill="1" applyBorder="1" applyAlignment="1">
      <alignment vertical="center" wrapText="1"/>
    </xf>
    <xf numFmtId="0" fontId="24" fillId="33" borderId="33" xfId="61" applyNumberFormat="1" applyFont="1" applyFill="1" applyBorder="1" applyAlignment="1">
      <alignment horizontal="left" vertical="center" wrapText="1"/>
      <protection/>
    </xf>
    <xf numFmtId="0" fontId="23" fillId="33" borderId="12" xfId="0" applyFont="1" applyFill="1" applyBorder="1" applyAlignment="1">
      <alignment horizontal="right"/>
    </xf>
    <xf numFmtId="0" fontId="23" fillId="33" borderId="12" xfId="0" applyFont="1" applyFill="1" applyBorder="1" applyAlignment="1">
      <alignment horizontal="right" vertical="center"/>
    </xf>
    <xf numFmtId="171" fontId="24" fillId="33" borderId="12" xfId="0" applyNumberFormat="1" applyFont="1" applyFill="1" applyBorder="1" applyAlignment="1">
      <alignment horizontal="center" vertical="center" wrapText="1"/>
    </xf>
    <xf numFmtId="171" fontId="25" fillId="33" borderId="12" xfId="41" applyNumberFormat="1" applyFont="1" applyFill="1" applyBorder="1" applyAlignment="1">
      <alignment horizontal="center" vertical="center" wrapText="1"/>
    </xf>
    <xf numFmtId="191" fontId="25" fillId="33" borderId="12" xfId="41" applyNumberFormat="1" applyFont="1" applyFill="1" applyBorder="1" applyAlignment="1">
      <alignment horizontal="center" vertical="center" wrapText="1"/>
    </xf>
    <xf numFmtId="190" fontId="25" fillId="33" borderId="12" xfId="41" applyNumberFormat="1" applyFont="1" applyFill="1" applyBorder="1" applyAlignment="1">
      <alignment horizontal="center" vertical="center" wrapText="1"/>
    </xf>
    <xf numFmtId="171" fontId="134" fillId="33" borderId="12" xfId="41" applyNumberFormat="1" applyFont="1" applyFill="1" applyBorder="1" applyAlignment="1">
      <alignment horizontal="center" vertical="center" wrapText="1"/>
    </xf>
    <xf numFmtId="0" fontId="24" fillId="33" borderId="12" xfId="43" applyNumberFormat="1" applyFont="1" applyFill="1" applyBorder="1" applyAlignment="1">
      <alignment horizontal="center" vertical="center"/>
    </xf>
    <xf numFmtId="0" fontId="129" fillId="33" borderId="12" xfId="0" applyFont="1" applyFill="1" applyBorder="1" applyAlignment="1">
      <alignment vertical="center"/>
    </xf>
    <xf numFmtId="191" fontId="23" fillId="0" borderId="12" xfId="41" applyNumberFormat="1" applyFont="1" applyFill="1" applyBorder="1" applyAlignment="1">
      <alignment horizontal="center" vertical="center" wrapText="1"/>
    </xf>
    <xf numFmtId="195" fontId="129" fillId="33" borderId="0" xfId="41" applyNumberFormat="1" applyFont="1" applyFill="1" applyAlignment="1">
      <alignment/>
    </xf>
    <xf numFmtId="0" fontId="23" fillId="33" borderId="0" xfId="0" applyFont="1" applyFill="1" applyAlignment="1">
      <alignment/>
    </xf>
    <xf numFmtId="171" fontId="23" fillId="33" borderId="12" xfId="41" applyNumberFormat="1" applyFont="1" applyFill="1" applyBorder="1" applyAlignment="1">
      <alignment horizontal="center" vertical="center"/>
    </xf>
    <xf numFmtId="194" fontId="23" fillId="33" borderId="0" xfId="41" applyNumberFormat="1" applyFont="1" applyFill="1" applyAlignment="1">
      <alignment/>
    </xf>
    <xf numFmtId="193" fontId="23" fillId="33" borderId="0" xfId="0" applyNumberFormat="1" applyFont="1" applyFill="1" applyAlignment="1">
      <alignment/>
    </xf>
    <xf numFmtId="190" fontId="23" fillId="33" borderId="12" xfId="41" applyNumberFormat="1" applyFont="1" applyFill="1" applyBorder="1" applyAlignment="1">
      <alignment vertical="center"/>
    </xf>
    <xf numFmtId="190" fontId="23" fillId="33" borderId="0" xfId="41" applyNumberFormat="1" applyFont="1" applyFill="1" applyAlignment="1">
      <alignment vertical="center"/>
    </xf>
    <xf numFmtId="171" fontId="23" fillId="33" borderId="12" xfId="41" applyNumberFormat="1" applyFont="1" applyFill="1" applyBorder="1" applyAlignment="1">
      <alignment vertical="center"/>
    </xf>
    <xf numFmtId="190" fontId="23" fillId="35" borderId="0" xfId="41" applyNumberFormat="1" applyFont="1" applyFill="1" applyAlignment="1">
      <alignment vertical="center"/>
    </xf>
    <xf numFmtId="193" fontId="132" fillId="34" borderId="0" xfId="0" applyNumberFormat="1" applyFont="1" applyFill="1" applyAlignment="1">
      <alignment/>
    </xf>
    <xf numFmtId="186" fontId="3" fillId="0" borderId="0" xfId="69" applyNumberFormat="1" applyFont="1" applyBorder="1" applyAlignment="1">
      <alignment horizontal="center"/>
      <protection/>
    </xf>
    <xf numFmtId="0" fontId="3" fillId="0" borderId="0" xfId="69" applyFont="1" applyBorder="1" applyAlignment="1">
      <alignment shrinkToFit="1"/>
      <protection/>
    </xf>
    <xf numFmtId="171" fontId="3" fillId="0" borderId="0" xfId="41" applyNumberFormat="1" applyFont="1" applyBorder="1" applyAlignment="1">
      <alignment shrinkToFit="1"/>
    </xf>
    <xf numFmtId="169" fontId="3" fillId="0" borderId="0" xfId="69" applyNumberFormat="1" applyFont="1" applyBorder="1" applyAlignment="1">
      <alignment shrinkToFit="1"/>
      <protection/>
    </xf>
    <xf numFmtId="0" fontId="3" fillId="0" borderId="0" xfId="69" applyFont="1">
      <alignment/>
      <protection/>
    </xf>
    <xf numFmtId="0" fontId="135" fillId="0" borderId="0" xfId="69" applyFont="1">
      <alignment/>
      <protection/>
    </xf>
    <xf numFmtId="0" fontId="17" fillId="0" borderId="0" xfId="63" applyFont="1" applyBorder="1" applyAlignment="1">
      <alignment horizontal="center" vertical="center" wrapText="1"/>
      <protection/>
    </xf>
    <xf numFmtId="49" fontId="17" fillId="0" borderId="0" xfId="63" applyNumberFormat="1" applyFont="1" applyBorder="1" applyAlignment="1">
      <alignment horizontal="left" shrinkToFit="1"/>
      <protection/>
    </xf>
    <xf numFmtId="3" fontId="4" fillId="0" borderId="0" xfId="63" applyNumberFormat="1" applyFont="1" applyBorder="1" applyAlignment="1">
      <alignment shrinkToFit="1"/>
      <protection/>
    </xf>
    <xf numFmtId="0" fontId="2" fillId="0" borderId="0" xfId="63" applyFont="1" applyFill="1" applyBorder="1" applyAlignment="1">
      <alignment vertical="center" wrapText="1"/>
      <protection/>
    </xf>
    <xf numFmtId="0" fontId="2" fillId="0" borderId="0" xfId="63" applyFont="1" applyBorder="1" applyAlignment="1">
      <alignment/>
      <protection/>
    </xf>
    <xf numFmtId="0" fontId="136" fillId="33" borderId="0" xfId="0" applyFont="1" applyFill="1" applyAlignment="1">
      <alignment/>
    </xf>
    <xf numFmtId="171" fontId="136" fillId="33" borderId="0" xfId="41" applyNumberFormat="1" applyFont="1" applyFill="1" applyAlignment="1">
      <alignment/>
    </xf>
    <xf numFmtId="190" fontId="136" fillId="33" borderId="0" xfId="41" applyNumberFormat="1" applyFont="1" applyFill="1" applyAlignment="1">
      <alignment horizontal="center"/>
    </xf>
    <xf numFmtId="171" fontId="136" fillId="33" borderId="0" xfId="41" applyNumberFormat="1" applyFont="1" applyFill="1" applyAlignment="1">
      <alignment horizontal="center"/>
    </xf>
    <xf numFmtId="171" fontId="137" fillId="33" borderId="0" xfId="41" applyNumberFormat="1" applyFont="1" applyFill="1" applyAlignment="1">
      <alignment/>
    </xf>
    <xf numFmtId="190" fontId="136" fillId="33" borderId="0" xfId="41" applyNumberFormat="1" applyFont="1" applyFill="1" applyAlignment="1">
      <alignment/>
    </xf>
    <xf numFmtId="171" fontId="137" fillId="33" borderId="12" xfId="41" applyNumberFormat="1" applyFont="1" applyFill="1" applyBorder="1" applyAlignment="1">
      <alignment horizontal="center" vertical="center"/>
    </xf>
    <xf numFmtId="171" fontId="136" fillId="33" borderId="12" xfId="41" applyNumberFormat="1" applyFont="1" applyFill="1" applyBorder="1" applyAlignment="1">
      <alignment/>
    </xf>
    <xf numFmtId="190" fontId="136" fillId="33" borderId="12" xfId="41" applyNumberFormat="1" applyFont="1" applyFill="1" applyBorder="1" applyAlignment="1">
      <alignment vertical="center"/>
    </xf>
    <xf numFmtId="190" fontId="136" fillId="33" borderId="0" xfId="41" applyNumberFormat="1" applyFont="1" applyFill="1" applyAlignment="1">
      <alignment vertical="center"/>
    </xf>
    <xf numFmtId="0" fontId="136" fillId="33" borderId="0" xfId="0" applyFont="1" applyFill="1" applyAlignment="1">
      <alignment vertical="center"/>
    </xf>
    <xf numFmtId="191" fontId="136" fillId="33" borderId="0" xfId="41" applyNumberFormat="1" applyFont="1" applyFill="1" applyAlignment="1">
      <alignment/>
    </xf>
    <xf numFmtId="171" fontId="138" fillId="33" borderId="0" xfId="41" applyNumberFormat="1" applyFont="1" applyFill="1" applyAlignment="1">
      <alignment/>
    </xf>
    <xf numFmtId="3" fontId="2" fillId="0" borderId="12" xfId="63" applyNumberFormat="1" applyFont="1" applyBorder="1">
      <alignment/>
      <protection/>
    </xf>
    <xf numFmtId="0" fontId="2" fillId="0" borderId="0" xfId="63" applyFont="1">
      <alignment/>
      <protection/>
    </xf>
    <xf numFmtId="0" fontId="135" fillId="0" borderId="0" xfId="63" applyFont="1" applyAlignment="1">
      <alignment horizontal="centerContinuous"/>
      <protection/>
    </xf>
    <xf numFmtId="0" fontId="135" fillId="0" borderId="0" xfId="63" applyFont="1">
      <alignment/>
      <protection/>
    </xf>
    <xf numFmtId="185" fontId="24" fillId="33" borderId="12" xfId="41" applyNumberFormat="1" applyFont="1" applyFill="1" applyBorder="1" applyAlignment="1">
      <alignment horizontal="center" vertical="center" wrapText="1"/>
    </xf>
    <xf numFmtId="171" fontId="24" fillId="33" borderId="12" xfId="41" applyNumberFormat="1"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19" fillId="33" borderId="0" xfId="0" applyFont="1" applyFill="1" applyBorder="1" applyAlignment="1">
      <alignment horizontal="center" vertical="center" wrapText="1"/>
    </xf>
    <xf numFmtId="171" fontId="131" fillId="33" borderId="12" xfId="41" applyNumberFormat="1" applyFont="1" applyFill="1" applyBorder="1" applyAlignment="1">
      <alignment horizontal="center" vertical="center" wrapText="1"/>
    </xf>
    <xf numFmtId="190" fontId="24" fillId="33" borderId="12" xfId="41" applyNumberFormat="1" applyFont="1" applyFill="1" applyBorder="1" applyAlignment="1">
      <alignment horizontal="center" vertical="center" wrapText="1"/>
    </xf>
    <xf numFmtId="0" fontId="4" fillId="0" borderId="0" xfId="0" applyFont="1" applyAlignment="1">
      <alignment vertical="center"/>
    </xf>
    <xf numFmtId="184" fontId="3" fillId="0" borderId="12" xfId="41" applyNumberFormat="1" applyFont="1" applyFill="1" applyBorder="1" applyAlignment="1">
      <alignment/>
    </xf>
    <xf numFmtId="182" fontId="3" fillId="0" borderId="12" xfId="66" applyNumberFormat="1" applyFont="1" applyFill="1" applyBorder="1" applyAlignment="1" quotePrefix="1">
      <alignment horizontal="center" vertical="center"/>
      <protection/>
    </xf>
    <xf numFmtId="184" fontId="4" fillId="0" borderId="12" xfId="41" applyNumberFormat="1" applyFont="1" applyFill="1" applyBorder="1" applyAlignment="1">
      <alignment/>
    </xf>
    <xf numFmtId="0" fontId="4" fillId="0" borderId="0" xfId="66" applyFont="1" applyFill="1">
      <alignment/>
      <protection/>
    </xf>
    <xf numFmtId="182" fontId="7" fillId="0" borderId="12" xfId="66" applyNumberFormat="1" applyFont="1" applyFill="1" applyBorder="1" applyAlignment="1" quotePrefix="1">
      <alignment horizontal="center" vertical="center"/>
      <protection/>
    </xf>
    <xf numFmtId="182" fontId="7" fillId="0" borderId="12" xfId="66" applyNumberFormat="1" applyFont="1" applyFill="1" applyBorder="1" applyAlignment="1" applyProtection="1">
      <alignment horizontal="left" vertical="center"/>
      <protection/>
    </xf>
    <xf numFmtId="184" fontId="7" fillId="0" borderId="12" xfId="41" applyNumberFormat="1" applyFont="1" applyFill="1" applyBorder="1" applyAlignment="1">
      <alignment/>
    </xf>
    <xf numFmtId="0" fontId="7" fillId="0" borderId="12" xfId="66" applyFont="1" applyFill="1" applyBorder="1">
      <alignment/>
      <protection/>
    </xf>
    <xf numFmtId="0" fontId="7" fillId="0" borderId="0" xfId="66" applyFont="1" applyFill="1">
      <alignment/>
      <protection/>
    </xf>
    <xf numFmtId="184" fontId="2" fillId="0" borderId="12" xfId="41" applyNumberFormat="1" applyFont="1" applyFill="1" applyBorder="1" applyAlignment="1">
      <alignment horizontal="center" vertical="center"/>
    </xf>
    <xf numFmtId="184" fontId="3" fillId="0" borderId="12" xfId="41" applyNumberFormat="1" applyFont="1" applyFill="1" applyBorder="1" applyAlignment="1">
      <alignment horizontal="center" vertical="center"/>
    </xf>
    <xf numFmtId="184" fontId="2" fillId="0" borderId="12" xfId="41" applyNumberFormat="1" applyFont="1" applyFill="1" applyBorder="1" applyAlignment="1">
      <alignment/>
    </xf>
    <xf numFmtId="3" fontId="4" fillId="0" borderId="12" xfId="0" applyNumberFormat="1" applyFont="1" applyBorder="1" applyAlignment="1">
      <alignment horizontal="right" vertical="center" wrapText="1"/>
    </xf>
    <xf numFmtId="0" fontId="2" fillId="0" borderId="0" xfId="0" applyFont="1" applyBorder="1" applyAlignment="1">
      <alignment horizontal="left"/>
    </xf>
    <xf numFmtId="3" fontId="2" fillId="0" borderId="0" xfId="0" applyNumberFormat="1" applyFont="1" applyBorder="1" applyAlignment="1">
      <alignment/>
    </xf>
    <xf numFmtId="184" fontId="2" fillId="0" borderId="0" xfId="41" applyNumberFormat="1" applyFont="1" applyBorder="1" applyAlignment="1">
      <alignment/>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3" fontId="2" fillId="0" borderId="0" xfId="0" applyNumberFormat="1" applyFont="1" applyBorder="1" applyAlignment="1">
      <alignment vertical="center"/>
    </xf>
    <xf numFmtId="3" fontId="3" fillId="0" borderId="0" xfId="0" applyNumberFormat="1" applyFont="1" applyBorder="1" applyAlignment="1">
      <alignment/>
    </xf>
    <xf numFmtId="0" fontId="3" fillId="0" borderId="0" xfId="0" applyFont="1" applyBorder="1" applyAlignment="1">
      <alignment horizontal="center"/>
    </xf>
    <xf numFmtId="0" fontId="3" fillId="0" borderId="0" xfId="0" applyFont="1" applyFill="1" applyBorder="1" applyAlignment="1">
      <alignment/>
    </xf>
    <xf numFmtId="0" fontId="19" fillId="33" borderId="0" xfId="0" applyFont="1" applyFill="1" applyBorder="1" applyAlignment="1">
      <alignment vertical="center" wrapText="1"/>
    </xf>
    <xf numFmtId="184" fontId="2" fillId="0" borderId="12" xfId="41" applyNumberFormat="1" applyFont="1" applyBorder="1" applyAlignment="1">
      <alignment vertical="center"/>
    </xf>
    <xf numFmtId="3" fontId="2" fillId="0" borderId="12" xfId="63" applyNumberFormat="1" applyFont="1" applyBorder="1" applyAlignment="1">
      <alignment vertical="center"/>
      <protection/>
    </xf>
    <xf numFmtId="3" fontId="3" fillId="0" borderId="12" xfId="63" applyNumberFormat="1" applyFont="1" applyBorder="1" applyAlignment="1">
      <alignment vertical="center"/>
      <protection/>
    </xf>
    <xf numFmtId="0" fontId="2" fillId="0" borderId="12" xfId="0" applyNumberFormat="1" applyFont="1" applyBorder="1" applyAlignment="1">
      <alignment vertical="center"/>
    </xf>
    <xf numFmtId="0" fontId="5" fillId="0" borderId="12" xfId="0" applyFont="1" applyBorder="1" applyAlignment="1">
      <alignment horizontal="center" vertical="center"/>
    </xf>
    <xf numFmtId="0" fontId="5" fillId="0" borderId="12" xfId="63" applyFont="1" applyBorder="1" applyAlignment="1">
      <alignment horizontal="center" vertical="center"/>
      <protection/>
    </xf>
    <xf numFmtId="3" fontId="5" fillId="0" borderId="12" xfId="63" applyNumberFormat="1" applyFont="1" applyBorder="1" applyAlignment="1">
      <alignment vertical="center"/>
      <protection/>
    </xf>
    <xf numFmtId="0" fontId="3" fillId="0" borderId="12" xfId="63" applyFont="1" applyBorder="1" applyAlignment="1">
      <alignment horizontal="center" vertical="center"/>
      <protection/>
    </xf>
    <xf numFmtId="0" fontId="3" fillId="0" borderId="12" xfId="63" applyFont="1" applyBorder="1" applyAlignment="1">
      <alignment horizontal="left" vertical="center"/>
      <protection/>
    </xf>
    <xf numFmtId="3" fontId="3" fillId="0" borderId="0" xfId="63" applyNumberFormat="1" applyFont="1" applyAlignment="1">
      <alignment vertical="center"/>
      <protection/>
    </xf>
    <xf numFmtId="0" fontId="5" fillId="0" borderId="0" xfId="0" applyFont="1" applyAlignment="1">
      <alignment vertical="center"/>
    </xf>
    <xf numFmtId="0" fontId="3" fillId="0" borderId="12" xfId="0" applyFont="1" applyFill="1" applyBorder="1" applyAlignment="1">
      <alignment vertical="center" wrapText="1"/>
    </xf>
    <xf numFmtId="3" fontId="3" fillId="0" borderId="12" xfId="63" applyNumberFormat="1" applyFont="1" applyFill="1" applyBorder="1" applyAlignment="1">
      <alignment vertical="center"/>
      <protection/>
    </xf>
    <xf numFmtId="0" fontId="3" fillId="0" borderId="12" xfId="0" applyFont="1" applyBorder="1" applyAlignment="1">
      <alignment horizontal="left" vertical="center"/>
    </xf>
    <xf numFmtId="3" fontId="3" fillId="0" borderId="12" xfId="0" applyNumberFormat="1" applyFont="1" applyFill="1" applyBorder="1" applyAlignment="1">
      <alignment vertical="center"/>
    </xf>
    <xf numFmtId="0" fontId="139" fillId="0" borderId="12" xfId="0" applyFont="1" applyBorder="1" applyAlignment="1">
      <alignment horizontal="center" wrapText="1"/>
    </xf>
    <xf numFmtId="0" fontId="139" fillId="0" borderId="12" xfId="0" applyFont="1" applyBorder="1" applyAlignment="1">
      <alignment wrapText="1"/>
    </xf>
    <xf numFmtId="0" fontId="121" fillId="0" borderId="12" xfId="0" applyFont="1" applyBorder="1" applyAlignment="1">
      <alignment horizontal="center" wrapText="1"/>
    </xf>
    <xf numFmtId="0" fontId="121" fillId="0" borderId="12" xfId="0" applyFont="1" applyBorder="1" applyAlignment="1">
      <alignment wrapText="1"/>
    </xf>
    <xf numFmtId="0" fontId="139" fillId="0" borderId="12" xfId="0" applyFont="1" applyBorder="1" applyAlignment="1">
      <alignment horizontal="center" vertical="center" wrapText="1"/>
    </xf>
    <xf numFmtId="0" fontId="139" fillId="0" borderId="12" xfId="0" applyFont="1" applyBorder="1" applyAlignment="1">
      <alignment vertical="center" wrapText="1"/>
    </xf>
    <xf numFmtId="0" fontId="121" fillId="0" borderId="12" xfId="0" applyFont="1" applyBorder="1" applyAlignment="1">
      <alignment horizontal="center" vertical="center" wrapText="1"/>
    </xf>
    <xf numFmtId="0" fontId="140" fillId="0" borderId="0" xfId="0" applyFont="1" applyAlignment="1">
      <alignment horizontal="center"/>
    </xf>
    <xf numFmtId="0" fontId="141" fillId="0" borderId="0" xfId="0" applyFont="1" applyAlignment="1">
      <alignment/>
    </xf>
    <xf numFmtId="0" fontId="142" fillId="0" borderId="0" xfId="0" applyFont="1" applyAlignment="1">
      <alignment/>
    </xf>
    <xf numFmtId="0" fontId="143" fillId="0" borderId="12" xfId="0" applyFont="1" applyBorder="1" applyAlignment="1">
      <alignment wrapText="1"/>
    </xf>
    <xf numFmtId="0" fontId="0" fillId="0" borderId="0" xfId="0" applyAlignment="1">
      <alignment vertical="center"/>
    </xf>
    <xf numFmtId="0" fontId="0" fillId="0" borderId="0" xfId="0" applyAlignment="1">
      <alignment horizontal="center" vertical="center"/>
    </xf>
    <xf numFmtId="0" fontId="2" fillId="0" borderId="0" xfId="66" applyNumberFormat="1" applyFont="1" applyFill="1" applyAlignment="1">
      <alignment vertical="center"/>
      <protection/>
    </xf>
    <xf numFmtId="0" fontId="143" fillId="0" borderId="0" xfId="0" applyFont="1" applyAlignment="1">
      <alignment/>
    </xf>
    <xf numFmtId="0" fontId="121" fillId="0" borderId="12" xfId="0" applyFont="1" applyBorder="1" applyAlignment="1">
      <alignment horizontal="center" vertical="center" wrapText="1"/>
    </xf>
    <xf numFmtId="200" fontId="3" fillId="0" borderId="12" xfId="41" applyNumberFormat="1" applyFont="1" applyBorder="1" applyAlignment="1">
      <alignment horizontal="center" vertical="center" wrapText="1"/>
    </xf>
    <xf numFmtId="179" fontId="3" fillId="0" borderId="12" xfId="41" applyFont="1" applyFill="1" applyBorder="1" applyAlignment="1">
      <alignment/>
    </xf>
    <xf numFmtId="3" fontId="2" fillId="0" borderId="12" xfId="0" applyNumberFormat="1" applyFont="1" applyFill="1" applyBorder="1" applyAlignment="1">
      <alignment vertical="center"/>
    </xf>
    <xf numFmtId="184" fontId="3" fillId="0" borderId="12" xfId="41" applyNumberFormat="1" applyFont="1" applyFill="1" applyBorder="1" applyAlignment="1">
      <alignment vertical="center"/>
    </xf>
    <xf numFmtId="3" fontId="2" fillId="0" borderId="0" xfId="0" applyNumberFormat="1" applyFont="1" applyFill="1" applyAlignment="1">
      <alignment vertical="center"/>
    </xf>
    <xf numFmtId="0" fontId="2" fillId="0" borderId="0" xfId="0" applyFont="1" applyFill="1" applyAlignment="1">
      <alignment vertical="center"/>
    </xf>
    <xf numFmtId="0" fontId="3" fillId="0" borderId="12" xfId="69" applyFont="1" applyFill="1" applyBorder="1" applyAlignment="1">
      <alignment shrinkToFit="1"/>
      <protection/>
    </xf>
    <xf numFmtId="0" fontId="32" fillId="0" borderId="0" xfId="0" applyFont="1" applyAlignment="1">
      <alignment vertical="center"/>
    </xf>
    <xf numFmtId="184" fontId="0" fillId="0" borderId="0" xfId="41" applyNumberFormat="1" applyFont="1" applyAlignment="1">
      <alignment vertical="center"/>
    </xf>
    <xf numFmtId="184" fontId="32" fillId="0" borderId="0" xfId="0" applyNumberFormat="1" applyFont="1" applyAlignment="1">
      <alignment vertical="center"/>
    </xf>
    <xf numFmtId="184" fontId="0" fillId="0" borderId="0" xfId="0" applyNumberFormat="1" applyAlignment="1">
      <alignment vertical="center"/>
    </xf>
    <xf numFmtId="0" fontId="144" fillId="0" borderId="12" xfId="0" applyFont="1" applyBorder="1" applyAlignment="1">
      <alignment vertical="center" wrapText="1"/>
    </xf>
    <xf numFmtId="0" fontId="145" fillId="0" borderId="12" xfId="0" applyFont="1" applyBorder="1" applyAlignment="1">
      <alignment horizontal="center" vertical="center" wrapText="1"/>
    </xf>
    <xf numFmtId="0" fontId="145" fillId="0" borderId="12" xfId="0" applyFont="1" applyBorder="1" applyAlignment="1">
      <alignment vertical="center" wrapText="1"/>
    </xf>
    <xf numFmtId="184" fontId="145" fillId="0" borderId="12" xfId="0" applyNumberFormat="1" applyFont="1" applyBorder="1" applyAlignment="1">
      <alignment horizontal="center" vertical="center" wrapText="1"/>
    </xf>
    <xf numFmtId="179" fontId="145" fillId="0" borderId="12" xfId="41" applyFont="1" applyBorder="1" applyAlignment="1">
      <alignment horizontal="center" vertical="center" wrapText="1"/>
    </xf>
    <xf numFmtId="184" fontId="144" fillId="0" borderId="12" xfId="0" applyNumberFormat="1" applyFont="1" applyBorder="1" applyAlignment="1">
      <alignment horizontal="center" vertical="center" wrapText="1"/>
    </xf>
    <xf numFmtId="179" fontId="144" fillId="0" borderId="12" xfId="41" applyFont="1" applyBorder="1" applyAlignment="1">
      <alignment horizontal="center" vertical="center" wrapText="1"/>
    </xf>
    <xf numFmtId="0" fontId="144" fillId="0" borderId="36" xfId="0" applyFont="1" applyBorder="1" applyAlignment="1">
      <alignment horizontal="center" vertical="center" wrapText="1"/>
    </xf>
    <xf numFmtId="0" fontId="144" fillId="0" borderId="12" xfId="0" applyFont="1" applyBorder="1" applyAlignment="1">
      <alignment horizontal="center" vertical="center" wrapText="1"/>
    </xf>
    <xf numFmtId="184" fontId="144" fillId="0" borderId="12" xfId="41" applyNumberFormat="1" applyFont="1" applyBorder="1" applyAlignment="1">
      <alignment horizontal="center" vertical="center" wrapText="1"/>
    </xf>
    <xf numFmtId="0" fontId="146" fillId="0" borderId="12" xfId="0" applyFont="1" applyBorder="1" applyAlignment="1">
      <alignment vertical="center" wrapText="1"/>
    </xf>
    <xf numFmtId="184" fontId="145" fillId="0" borderId="12" xfId="41" applyNumberFormat="1" applyFont="1" applyBorder="1" applyAlignment="1">
      <alignment horizontal="center" vertical="center" wrapText="1"/>
    </xf>
    <xf numFmtId="0" fontId="139" fillId="0" borderId="12" xfId="0" applyFont="1" applyBorder="1" applyAlignment="1">
      <alignment horizontal="center" vertical="center" wrapText="1"/>
    </xf>
    <xf numFmtId="179" fontId="121" fillId="0" borderId="12" xfId="41" applyFont="1" applyBorder="1" applyAlignment="1">
      <alignment horizontal="center" vertical="center" wrapText="1"/>
    </xf>
    <xf numFmtId="184" fontId="121" fillId="0" borderId="12" xfId="41" applyNumberFormat="1" applyFont="1" applyBorder="1" applyAlignment="1">
      <alignment horizontal="center" vertical="center" wrapText="1"/>
    </xf>
    <xf numFmtId="184" fontId="139" fillId="0" borderId="12" xfId="41" applyNumberFormat="1" applyFont="1" applyBorder="1" applyAlignment="1">
      <alignment horizontal="center" wrapText="1"/>
    </xf>
    <xf numFmtId="184" fontId="139" fillId="0" borderId="12" xfId="41" applyNumberFormat="1" applyFont="1" applyBorder="1" applyAlignment="1">
      <alignment horizontal="center" vertical="center" wrapText="1"/>
    </xf>
    <xf numFmtId="0" fontId="121" fillId="0" borderId="12" xfId="0" applyFont="1" applyFill="1" applyBorder="1" applyAlignment="1">
      <alignment horizontal="center" vertical="center" wrapText="1"/>
    </xf>
    <xf numFmtId="0" fontId="121" fillId="0" borderId="12" xfId="0" applyFont="1" applyFill="1" applyBorder="1" applyAlignment="1">
      <alignment vertical="center" wrapText="1"/>
    </xf>
    <xf numFmtId="184" fontId="121" fillId="0" borderId="12" xfId="41" applyNumberFormat="1" applyFont="1" applyFill="1" applyBorder="1" applyAlignment="1">
      <alignment horizontal="center" vertical="center" wrapText="1"/>
    </xf>
    <xf numFmtId="0" fontId="3" fillId="0" borderId="0" xfId="0" applyFont="1" applyFill="1" applyAlignment="1">
      <alignment vertical="center"/>
    </xf>
    <xf numFmtId="179" fontId="2" fillId="0" borderId="0" xfId="41" applyFont="1" applyAlignment="1">
      <alignment vertical="center"/>
    </xf>
    <xf numFmtId="179" fontId="139" fillId="0" borderId="12" xfId="41" applyFont="1" applyBorder="1" applyAlignment="1">
      <alignment horizontal="center" wrapText="1"/>
    </xf>
    <xf numFmtId="179" fontId="139" fillId="0" borderId="12" xfId="41" applyFont="1" applyBorder="1" applyAlignment="1">
      <alignment horizontal="center" vertical="center" wrapText="1"/>
    </xf>
    <xf numFmtId="185" fontId="3" fillId="0" borderId="12" xfId="41" applyNumberFormat="1" applyFont="1" applyBorder="1" applyAlignment="1">
      <alignment vertical="top" wrapText="1"/>
    </xf>
    <xf numFmtId="184" fontId="121" fillId="0" borderId="12" xfId="0" applyNumberFormat="1" applyFont="1" applyBorder="1" applyAlignment="1">
      <alignment horizontal="center" vertical="center" wrapText="1"/>
    </xf>
    <xf numFmtId="184" fontId="3" fillId="0" borderId="0" xfId="0" applyNumberFormat="1" applyFont="1" applyAlignment="1">
      <alignment vertical="center"/>
    </xf>
    <xf numFmtId="184" fontId="3" fillId="0" borderId="12" xfId="41" applyNumberFormat="1" applyFont="1" applyBorder="1" applyAlignment="1">
      <alignment vertical="center" wrapText="1"/>
    </xf>
    <xf numFmtId="0" fontId="0" fillId="0" borderId="0" xfId="0" applyFont="1" applyAlignment="1">
      <alignment vertical="center"/>
    </xf>
    <xf numFmtId="184" fontId="139" fillId="0" borderId="12" xfId="0" applyNumberFormat="1" applyFont="1" applyBorder="1" applyAlignment="1">
      <alignment horizontal="center" vertical="center" wrapText="1"/>
    </xf>
    <xf numFmtId="185" fontId="139" fillId="0" borderId="12" xfId="0" applyNumberFormat="1" applyFont="1" applyBorder="1" applyAlignment="1">
      <alignment horizontal="center" vertical="center" wrapText="1"/>
    </xf>
    <xf numFmtId="184" fontId="121" fillId="0" borderId="12" xfId="0" applyNumberFormat="1"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4" fillId="0" borderId="12" xfId="0" applyFont="1" applyFill="1" applyBorder="1" applyAlignment="1">
      <alignment vertical="center" wrapText="1"/>
    </xf>
    <xf numFmtId="184" fontId="33" fillId="0" borderId="12" xfId="41" applyNumberFormat="1" applyFont="1" applyFill="1" applyBorder="1" applyAlignment="1">
      <alignment horizontal="center" vertical="center" wrapText="1"/>
    </xf>
    <xf numFmtId="179" fontId="33" fillId="0" borderId="12" xfId="41" applyFont="1" applyBorder="1" applyAlignment="1">
      <alignment horizontal="center" vertical="center" wrapText="1"/>
    </xf>
    <xf numFmtId="0" fontId="0" fillId="0" borderId="0" xfId="0" applyFont="1" applyFill="1" applyAlignment="1">
      <alignment vertical="center"/>
    </xf>
    <xf numFmtId="184" fontId="0" fillId="0" borderId="0" xfId="0" applyNumberFormat="1" applyFont="1" applyFill="1" applyAlignment="1">
      <alignment vertical="center"/>
    </xf>
    <xf numFmtId="0" fontId="147" fillId="0" borderId="12" xfId="0" applyFont="1" applyBorder="1" applyAlignment="1">
      <alignment wrapText="1"/>
    </xf>
    <xf numFmtId="0" fontId="32" fillId="0" borderId="0" xfId="0" applyFont="1" applyAlignment="1">
      <alignment/>
    </xf>
    <xf numFmtId="184" fontId="121" fillId="0" borderId="12" xfId="41" applyNumberFormat="1" applyFont="1" applyBorder="1" applyAlignment="1">
      <alignment wrapText="1"/>
    </xf>
    <xf numFmtId="0" fontId="7" fillId="0" borderId="12" xfId="0" applyFont="1" applyBorder="1" applyAlignment="1">
      <alignment/>
    </xf>
    <xf numFmtId="184" fontId="139" fillId="0" borderId="12" xfId="41" applyNumberFormat="1" applyFont="1" applyBorder="1" applyAlignment="1">
      <alignment wrapText="1"/>
    </xf>
    <xf numFmtId="184" fontId="121" fillId="0" borderId="12" xfId="41" applyNumberFormat="1" applyFont="1" applyBorder="1" applyAlignment="1">
      <alignment vertical="center" wrapText="1"/>
    </xf>
    <xf numFmtId="184" fontId="139" fillId="0" borderId="12" xfId="41" applyNumberFormat="1" applyFont="1" applyBorder="1" applyAlignment="1">
      <alignment vertical="center" wrapText="1"/>
    </xf>
    <xf numFmtId="184" fontId="139" fillId="0" borderId="12" xfId="0" applyNumberFormat="1" applyFont="1" applyBorder="1" applyAlignment="1">
      <alignment vertical="center" wrapText="1"/>
    </xf>
    <xf numFmtId="184" fontId="2" fillId="0" borderId="36" xfId="41" applyNumberFormat="1" applyFont="1" applyBorder="1" applyAlignment="1">
      <alignment horizontal="left" vertical="center" wrapText="1"/>
    </xf>
    <xf numFmtId="184" fontId="2" fillId="0" borderId="12" xfId="41" applyNumberFormat="1" applyFont="1" applyFill="1" applyBorder="1" applyAlignment="1">
      <alignment horizontal="left" vertical="center" wrapText="1"/>
    </xf>
    <xf numFmtId="179" fontId="2" fillId="0" borderId="12" xfId="41" applyFont="1" applyFill="1" applyBorder="1" applyAlignment="1">
      <alignment/>
    </xf>
    <xf numFmtId="0" fontId="3" fillId="0" borderId="0" xfId="0" applyFont="1" applyFill="1" applyAlignment="1">
      <alignment/>
    </xf>
    <xf numFmtId="0" fontId="2" fillId="0" borderId="12" xfId="0" applyFont="1" applyFill="1" applyBorder="1" applyAlignment="1">
      <alignment horizontal="center" vertical="center"/>
    </xf>
    <xf numFmtId="0" fontId="2" fillId="0" borderId="12" xfId="0" applyFont="1" applyFill="1" applyBorder="1" applyAlignment="1">
      <alignment vertical="center" wrapText="1"/>
    </xf>
    <xf numFmtId="0" fontId="139" fillId="0" borderId="12" xfId="0" applyFont="1" applyFill="1" applyBorder="1" applyAlignment="1">
      <alignment horizontal="center" vertical="center" wrapText="1"/>
    </xf>
    <xf numFmtId="184" fontId="139" fillId="0" borderId="12" xfId="41" applyNumberFormat="1" applyFont="1" applyFill="1" applyBorder="1" applyAlignment="1">
      <alignment horizontal="center" vertical="center" wrapText="1"/>
    </xf>
    <xf numFmtId="0" fontId="148" fillId="0" borderId="0" xfId="0" applyFont="1" applyAlignment="1">
      <alignment vertical="center"/>
    </xf>
    <xf numFmtId="0" fontId="149" fillId="0" borderId="0" xfId="0" applyFont="1" applyAlignment="1">
      <alignment vertical="center"/>
    </xf>
    <xf numFmtId="0" fontId="148" fillId="0" borderId="0" xfId="0" applyFont="1" applyFill="1" applyAlignment="1">
      <alignment vertical="center"/>
    </xf>
    <xf numFmtId="0" fontId="3" fillId="0" borderId="12" xfId="0" applyFont="1" applyFill="1" applyBorder="1" applyAlignment="1">
      <alignment horizontal="center" vertical="center"/>
    </xf>
    <xf numFmtId="179" fontId="3" fillId="0" borderId="12" xfId="41" applyFont="1" applyFill="1" applyBorder="1" applyAlignment="1">
      <alignment vertical="center"/>
    </xf>
    <xf numFmtId="184" fontId="3" fillId="0" borderId="0" xfId="41" applyNumberFormat="1" applyFont="1" applyAlignment="1">
      <alignment/>
    </xf>
    <xf numFmtId="184" fontId="2" fillId="0" borderId="0" xfId="41" applyNumberFormat="1" applyFont="1" applyAlignment="1">
      <alignment/>
    </xf>
    <xf numFmtId="184" fontId="2" fillId="0" borderId="0" xfId="41" applyNumberFormat="1" applyFont="1" applyFill="1" applyAlignment="1">
      <alignment/>
    </xf>
    <xf numFmtId="0" fontId="3" fillId="0" borderId="37" xfId="0" applyFont="1" applyBorder="1" applyAlignment="1">
      <alignment vertical="center"/>
    </xf>
    <xf numFmtId="0" fontId="4" fillId="0" borderId="0" xfId="0" applyFont="1" applyFill="1" applyBorder="1" applyAlignment="1">
      <alignment horizontal="center"/>
    </xf>
    <xf numFmtId="3" fontId="2" fillId="0" borderId="0" xfId="0" applyNumberFormat="1" applyFont="1" applyFill="1" applyBorder="1" applyAlignment="1">
      <alignment vertical="center"/>
    </xf>
    <xf numFmtId="0" fontId="2" fillId="0" borderId="12" xfId="0" applyFont="1" applyFill="1" applyBorder="1" applyAlignment="1">
      <alignment horizontal="left" vertical="center" wrapText="1"/>
    </xf>
    <xf numFmtId="179" fontId="2" fillId="0" borderId="12" xfId="41" applyFont="1" applyFill="1" applyBorder="1" applyAlignment="1">
      <alignment vertical="center"/>
    </xf>
    <xf numFmtId="184" fontId="2" fillId="0" borderId="12" xfId="41" applyNumberFormat="1" applyFont="1" applyFill="1" applyBorder="1" applyAlignment="1">
      <alignment vertical="center"/>
    </xf>
    <xf numFmtId="0" fontId="2" fillId="0" borderId="12" xfId="0" applyFont="1" applyBorder="1" applyAlignment="1">
      <alignment vertical="center" wrapText="1"/>
    </xf>
    <xf numFmtId="3" fontId="2" fillId="0" borderId="12" xfId="0" applyNumberFormat="1" applyFont="1" applyBorder="1" applyAlignment="1" quotePrefix="1">
      <alignment horizontal="center" vertical="center"/>
    </xf>
    <xf numFmtId="3" fontId="3" fillId="0" borderId="0" xfId="0" applyNumberFormat="1" applyFont="1" applyFill="1" applyAlignment="1">
      <alignment vertical="center"/>
    </xf>
    <xf numFmtId="0" fontId="3" fillId="0" borderId="12" xfId="69" applyFont="1" applyFill="1" applyBorder="1" applyAlignment="1">
      <alignment vertical="center" shrinkToFit="1"/>
      <protection/>
    </xf>
    <xf numFmtId="0" fontId="2" fillId="0" borderId="0" xfId="0" applyFont="1" applyAlignment="1">
      <alignment horizontal="center" vertical="center"/>
    </xf>
    <xf numFmtId="0" fontId="13" fillId="0" borderId="0" xfId="66" applyNumberFormat="1" applyFont="1" applyFill="1" applyAlignment="1">
      <alignment horizontal="center" vertical="center" wrapText="1"/>
      <protection/>
    </xf>
    <xf numFmtId="0" fontId="13" fillId="0" borderId="0" xfId="66" applyNumberFormat="1" applyFont="1" applyFill="1" applyAlignment="1">
      <alignment vertical="center" wrapText="1"/>
      <protection/>
    </xf>
    <xf numFmtId="0" fontId="15" fillId="0" borderId="0" xfId="66" applyNumberFormat="1" applyFont="1" applyFill="1" applyAlignment="1">
      <alignment vertical="center" wrapText="1"/>
      <protection/>
    </xf>
    <xf numFmtId="0" fontId="3" fillId="0" borderId="0" xfId="66" applyNumberFormat="1" applyFont="1" applyFill="1" applyAlignment="1">
      <alignment vertical="center" wrapText="1"/>
      <protection/>
    </xf>
    <xf numFmtId="0" fontId="150" fillId="0" borderId="0" xfId="0" applyFont="1" applyBorder="1" applyAlignment="1">
      <alignment/>
    </xf>
    <xf numFmtId="0" fontId="150" fillId="0" borderId="0" xfId="0" applyFont="1" applyBorder="1" applyAlignment="1">
      <alignment vertical="center"/>
    </xf>
    <xf numFmtId="0" fontId="151" fillId="0" borderId="0" xfId="0" applyFont="1" applyBorder="1" applyAlignment="1">
      <alignment vertical="center"/>
    </xf>
    <xf numFmtId="184" fontId="151" fillId="0" borderId="0" xfId="41" applyNumberFormat="1" applyFont="1" applyBorder="1" applyAlignment="1">
      <alignment vertical="center"/>
    </xf>
    <xf numFmtId="204" fontId="150" fillId="0" borderId="0" xfId="41" applyNumberFormat="1" applyFont="1" applyBorder="1" applyAlignment="1">
      <alignment vertical="center"/>
    </xf>
    <xf numFmtId="184" fontId="150" fillId="0" borderId="0" xfId="41" applyNumberFormat="1" applyFont="1" applyBorder="1" applyAlignment="1">
      <alignment vertical="center"/>
    </xf>
    <xf numFmtId="184" fontId="150" fillId="0" borderId="0" xfId="41" applyNumberFormat="1" applyFont="1" applyFill="1" applyBorder="1" applyAlignment="1">
      <alignment vertical="center"/>
    </xf>
    <xf numFmtId="203" fontId="151" fillId="0" borderId="0" xfId="41" applyNumberFormat="1" applyFont="1" applyBorder="1" applyAlignment="1">
      <alignment vertical="center"/>
    </xf>
    <xf numFmtId="184" fontId="150" fillId="0" borderId="0" xfId="41" applyNumberFormat="1" applyFont="1" applyBorder="1" applyAlignment="1">
      <alignment/>
    </xf>
    <xf numFmtId="0" fontId="139" fillId="0" borderId="12" xfId="0" applyFont="1" applyFill="1" applyBorder="1" applyAlignment="1">
      <alignment vertical="center" wrapText="1"/>
    </xf>
    <xf numFmtId="184" fontId="139" fillId="0" borderId="12" xfId="0" applyNumberFormat="1" applyFont="1" applyFill="1" applyBorder="1" applyAlignment="1">
      <alignment horizontal="center" vertical="center" wrapText="1"/>
    </xf>
    <xf numFmtId="179" fontId="139" fillId="0" borderId="12" xfId="41" applyFont="1" applyFill="1" applyBorder="1" applyAlignment="1">
      <alignment horizontal="center" vertical="center" wrapText="1"/>
    </xf>
    <xf numFmtId="0" fontId="32" fillId="0" borderId="0" xfId="0" applyFont="1" applyFill="1" applyAlignment="1">
      <alignment vertical="center"/>
    </xf>
    <xf numFmtId="185" fontId="3" fillId="0" borderId="12" xfId="41" applyNumberFormat="1" applyFont="1" applyBorder="1" applyAlignment="1">
      <alignment vertical="center" wrapText="1"/>
    </xf>
    <xf numFmtId="179" fontId="121" fillId="0" borderId="12" xfId="41" applyFont="1" applyFill="1" applyBorder="1" applyAlignment="1">
      <alignment horizontal="center" vertical="center" wrapText="1"/>
    </xf>
    <xf numFmtId="184" fontId="139" fillId="0" borderId="12" xfId="41" applyNumberFormat="1" applyFont="1" applyFill="1" applyBorder="1" applyAlignment="1">
      <alignment vertical="center" wrapText="1"/>
    </xf>
    <xf numFmtId="0" fontId="0" fillId="0" borderId="0" xfId="0" applyFill="1" applyAlignment="1">
      <alignment vertical="center"/>
    </xf>
    <xf numFmtId="179" fontId="139" fillId="0" borderId="12" xfId="41" applyFont="1" applyBorder="1" applyAlignment="1">
      <alignment vertical="center" wrapText="1"/>
    </xf>
    <xf numFmtId="179" fontId="121" fillId="0" borderId="12" xfId="41" applyFont="1" applyBorder="1" applyAlignment="1">
      <alignment vertical="center" wrapText="1"/>
    </xf>
    <xf numFmtId="3" fontId="148" fillId="0" borderId="0" xfId="63" applyNumberFormat="1" applyFont="1" applyAlignment="1">
      <alignment vertical="center"/>
      <protection/>
    </xf>
    <xf numFmtId="0" fontId="148" fillId="0" borderId="0" xfId="63" applyFont="1" applyAlignment="1">
      <alignment vertical="center"/>
      <protection/>
    </xf>
    <xf numFmtId="184" fontId="3" fillId="0" borderId="12" xfId="66" applyNumberFormat="1" applyFont="1" applyFill="1" applyBorder="1">
      <alignment/>
      <protection/>
    </xf>
    <xf numFmtId="0" fontId="27" fillId="0" borderId="0" xfId="0" applyFont="1" applyAlignment="1">
      <alignment horizontal="left"/>
    </xf>
    <xf numFmtId="0" fontId="16" fillId="0" borderId="0" xfId="0" applyFont="1" applyAlignment="1">
      <alignment/>
    </xf>
    <xf numFmtId="0" fontId="27" fillId="0" borderId="0" xfId="0" applyFont="1" applyBorder="1" applyAlignment="1">
      <alignment horizontal="center"/>
    </xf>
    <xf numFmtId="0" fontId="27" fillId="0" borderId="0" xfId="0" applyFont="1" applyBorder="1" applyAlignment="1">
      <alignment horizontal="center" vertical="center"/>
    </xf>
    <xf numFmtId="0" fontId="27" fillId="0" borderId="0" xfId="0" applyFont="1" applyBorder="1" applyAlignment="1">
      <alignment horizontal="right" vertical="center"/>
    </xf>
    <xf numFmtId="0" fontId="3" fillId="0" borderId="0" xfId="0" applyFont="1" applyBorder="1" applyAlignment="1">
      <alignment horizontal="centerContinuous"/>
    </xf>
    <xf numFmtId="0" fontId="2" fillId="0" borderId="0" xfId="0" applyFont="1" applyBorder="1" applyAlignment="1" quotePrefix="1">
      <alignment horizontal="center" vertical="center"/>
    </xf>
    <xf numFmtId="3" fontId="3" fillId="0" borderId="0" xfId="0" applyNumberFormat="1" applyFont="1" applyBorder="1" applyAlignment="1">
      <alignment vertical="center"/>
    </xf>
    <xf numFmtId="3" fontId="3" fillId="0" borderId="0" xfId="0" applyNumberFormat="1" applyFont="1" applyFill="1" applyBorder="1" applyAlignment="1">
      <alignment vertical="center"/>
    </xf>
    <xf numFmtId="0" fontId="3" fillId="0" borderId="12" xfId="0" applyNumberFormat="1" applyFont="1" applyBorder="1" applyAlignment="1">
      <alignment vertical="center"/>
    </xf>
    <xf numFmtId="1" fontId="13" fillId="0" borderId="0" xfId="68" applyNumberFormat="1" applyFont="1" applyAlignment="1">
      <alignment vertical="center"/>
      <protection/>
    </xf>
    <xf numFmtId="1" fontId="16" fillId="0" borderId="0" xfId="68" applyNumberFormat="1" applyFont="1" applyAlignment="1">
      <alignment vertical="center"/>
      <protection/>
    </xf>
    <xf numFmtId="185" fontId="16" fillId="0" borderId="0" xfId="41" applyNumberFormat="1" applyFont="1" applyAlignment="1">
      <alignment vertical="center"/>
    </xf>
    <xf numFmtId="185" fontId="28" fillId="0" borderId="0" xfId="41" applyNumberFormat="1" applyFont="1" applyAlignment="1">
      <alignment horizontal="right"/>
    </xf>
    <xf numFmtId="194" fontId="152" fillId="0" borderId="0" xfId="41" applyNumberFormat="1" applyFont="1" applyAlignment="1">
      <alignment vertical="center"/>
    </xf>
    <xf numFmtId="1" fontId="152" fillId="0" borderId="0" xfId="68" applyNumberFormat="1" applyFont="1" applyAlignment="1">
      <alignment vertical="center"/>
      <protection/>
    </xf>
    <xf numFmtId="1" fontId="27" fillId="0" borderId="0" xfId="68" applyNumberFormat="1" applyFont="1" applyAlignment="1">
      <alignment vertical="center"/>
      <protection/>
    </xf>
    <xf numFmtId="0" fontId="39" fillId="0" borderId="0" xfId="60" applyFont="1" applyAlignment="1">
      <alignment vertical="center" wrapText="1"/>
      <protection/>
    </xf>
    <xf numFmtId="1" fontId="4" fillId="0" borderId="0" xfId="68" applyNumberFormat="1" applyFont="1" applyAlignment="1">
      <alignment vertical="center"/>
      <protection/>
    </xf>
    <xf numFmtId="1" fontId="21" fillId="0" borderId="0" xfId="68" applyNumberFormat="1" applyFont="1" applyAlignment="1">
      <alignment horizontal="center" vertical="center"/>
      <protection/>
    </xf>
    <xf numFmtId="1" fontId="21" fillId="0" borderId="0" xfId="68" applyNumberFormat="1" applyFont="1" applyAlignment="1">
      <alignment vertical="center"/>
      <protection/>
    </xf>
    <xf numFmtId="194" fontId="4" fillId="0" borderId="0" xfId="41" applyNumberFormat="1" applyFont="1" applyAlignment="1">
      <alignment vertical="center"/>
    </xf>
    <xf numFmtId="185" fontId="4" fillId="0" borderId="0" xfId="41" applyNumberFormat="1" applyFont="1" applyAlignment="1">
      <alignment vertical="center"/>
    </xf>
    <xf numFmtId="194" fontId="4" fillId="0" borderId="0" xfId="41" applyNumberFormat="1" applyFont="1" applyAlignment="1">
      <alignment horizontal="right" vertical="center"/>
    </xf>
    <xf numFmtId="194" fontId="3" fillId="0" borderId="0" xfId="41" applyNumberFormat="1" applyFont="1" applyAlignment="1">
      <alignment horizontal="right" vertical="center"/>
    </xf>
    <xf numFmtId="194" fontId="153" fillId="0" borderId="0" xfId="41" applyNumberFormat="1" applyFont="1" applyAlignment="1">
      <alignment vertical="center"/>
    </xf>
    <xf numFmtId="1" fontId="153" fillId="0" borderId="0" xfId="68" applyNumberFormat="1" applyFont="1" applyAlignment="1">
      <alignment vertical="center"/>
      <protection/>
    </xf>
    <xf numFmtId="1" fontId="4" fillId="0" borderId="0" xfId="68" applyNumberFormat="1" applyFont="1" applyAlignment="1">
      <alignment horizontal="right" vertical="center"/>
      <protection/>
    </xf>
    <xf numFmtId="1" fontId="38" fillId="0" borderId="0" xfId="68" applyNumberFormat="1" applyFont="1" applyAlignment="1">
      <alignment vertical="center"/>
      <protection/>
    </xf>
    <xf numFmtId="3" fontId="40" fillId="0" borderId="0" xfId="68" applyNumberFormat="1" applyFont="1" applyAlignment="1">
      <alignment horizontal="center" vertical="center" wrapText="1"/>
      <protection/>
    </xf>
    <xf numFmtId="0" fontId="2" fillId="0" borderId="10" xfId="68" applyFont="1" applyBorder="1" applyAlignment="1">
      <alignment horizontal="center" vertical="center" wrapText="1"/>
      <protection/>
    </xf>
    <xf numFmtId="3" fontId="2" fillId="0" borderId="12" xfId="68" applyNumberFormat="1" applyFont="1" applyBorder="1" applyAlignment="1">
      <alignment horizontal="center" vertical="center" wrapText="1"/>
      <protection/>
    </xf>
    <xf numFmtId="0" fontId="40" fillId="0" borderId="12" xfId="68" applyFont="1" applyBorder="1" applyAlignment="1">
      <alignment horizontal="center" vertical="center" wrapText="1"/>
      <protection/>
    </xf>
    <xf numFmtId="0" fontId="2" fillId="0" borderId="12" xfId="68" applyFont="1" applyBorder="1" applyAlignment="1">
      <alignment horizontal="center" vertical="center" wrapText="1"/>
      <protection/>
    </xf>
    <xf numFmtId="185" fontId="2" fillId="0" borderId="12" xfId="41" applyNumberFormat="1" applyFont="1" applyBorder="1" applyAlignment="1">
      <alignment horizontal="center" vertical="center" wrapText="1"/>
    </xf>
    <xf numFmtId="185" fontId="154" fillId="0" borderId="12" xfId="41" applyNumberFormat="1" applyFont="1" applyBorder="1" applyAlignment="1">
      <alignment horizontal="center" vertical="center" wrapText="1"/>
    </xf>
    <xf numFmtId="0" fontId="154" fillId="0" borderId="12" xfId="68" applyFont="1" applyBorder="1" applyAlignment="1">
      <alignment horizontal="center" vertical="center" wrapText="1"/>
      <protection/>
    </xf>
    <xf numFmtId="0" fontId="154" fillId="0" borderId="38" xfId="68" applyFont="1" applyBorder="1" applyAlignment="1">
      <alignment horizontal="center" vertical="center" wrapText="1"/>
      <protection/>
    </xf>
    <xf numFmtId="3" fontId="2" fillId="0" borderId="0" xfId="68" applyNumberFormat="1" applyFont="1" applyAlignment="1">
      <alignment horizontal="center" vertical="center" wrapText="1"/>
      <protection/>
    </xf>
    <xf numFmtId="185" fontId="23" fillId="0" borderId="12" xfId="0" applyNumberFormat="1" applyFont="1" applyBorder="1" applyAlignment="1">
      <alignment horizontal="center" vertical="center" wrapText="1"/>
    </xf>
    <xf numFmtId="185" fontId="24" fillId="0" borderId="12" xfId="0" applyNumberFormat="1" applyFont="1" applyBorder="1" applyAlignment="1">
      <alignment horizontal="center" vertical="center" wrapText="1"/>
    </xf>
    <xf numFmtId="185" fontId="13" fillId="0" borderId="12" xfId="68" applyNumberFormat="1" applyFont="1" applyBorder="1" applyAlignment="1" quotePrefix="1">
      <alignment horizontal="center" vertical="center" wrapText="1"/>
      <protection/>
    </xf>
    <xf numFmtId="185" fontId="2" fillId="0" borderId="12" xfId="41" applyNumberFormat="1" applyFont="1" applyBorder="1" applyAlignment="1" quotePrefix="1">
      <alignment horizontal="center" vertical="center" wrapText="1"/>
    </xf>
    <xf numFmtId="194" fontId="2" fillId="0" borderId="12" xfId="41" applyNumberFormat="1" applyFont="1" applyBorder="1" applyAlignment="1" quotePrefix="1">
      <alignment horizontal="center" vertical="center" wrapText="1"/>
    </xf>
    <xf numFmtId="194" fontId="2" fillId="0" borderId="12" xfId="41" applyNumberFormat="1" applyFont="1" applyBorder="1" applyAlignment="1" quotePrefix="1">
      <alignment horizontal="center" vertical="center" wrapText="1"/>
    </xf>
    <xf numFmtId="194" fontId="154" fillId="0" borderId="12" xfId="41" applyNumberFormat="1" applyFont="1" applyBorder="1" applyAlignment="1" quotePrefix="1">
      <alignment horizontal="center" vertical="center" wrapText="1"/>
    </xf>
    <xf numFmtId="185" fontId="154" fillId="0" borderId="12" xfId="41" applyNumberFormat="1" applyFont="1" applyBorder="1" applyAlignment="1" quotePrefix="1">
      <alignment horizontal="center" vertical="center" wrapText="1"/>
    </xf>
    <xf numFmtId="10" fontId="2" fillId="0" borderId="12" xfId="72" applyNumberFormat="1" applyFont="1" applyBorder="1" applyAlignment="1" quotePrefix="1">
      <alignment horizontal="center" vertical="center" wrapText="1"/>
    </xf>
    <xf numFmtId="185" fontId="2" fillId="0" borderId="12" xfId="68" applyNumberFormat="1" applyFont="1" applyBorder="1" applyAlignment="1" quotePrefix="1">
      <alignment horizontal="center" vertical="center" wrapText="1"/>
      <protection/>
    </xf>
    <xf numFmtId="185" fontId="2" fillId="0" borderId="12" xfId="72" applyNumberFormat="1" applyFont="1" applyBorder="1" applyAlignment="1" quotePrefix="1">
      <alignment horizontal="center" vertical="center" wrapText="1"/>
    </xf>
    <xf numFmtId="10" fontId="2" fillId="0" borderId="12" xfId="72" applyNumberFormat="1" applyFont="1" applyBorder="1" applyAlignment="1">
      <alignment vertical="center" wrapText="1"/>
    </xf>
    <xf numFmtId="185" fontId="3" fillId="0" borderId="0" xfId="68" applyNumberFormat="1" applyFont="1" applyAlignment="1">
      <alignment vertical="center" wrapText="1"/>
      <protection/>
    </xf>
    <xf numFmtId="0" fontId="23" fillId="0" borderId="12" xfId="0" applyFont="1" applyBorder="1" applyAlignment="1">
      <alignment horizontal="center" vertical="center" wrapText="1"/>
    </xf>
    <xf numFmtId="0" fontId="24" fillId="0" borderId="12" xfId="0" applyFont="1" applyBorder="1" applyAlignment="1">
      <alignment horizontal="center" vertical="center" wrapText="1"/>
    </xf>
    <xf numFmtId="1" fontId="13" fillId="0" borderId="12" xfId="68" applyNumberFormat="1" applyFont="1" applyBorder="1" applyAlignment="1">
      <alignment horizontal="center" vertical="center" wrapText="1"/>
      <protection/>
    </xf>
    <xf numFmtId="185" fontId="2" fillId="0" borderId="12" xfId="41" applyNumberFormat="1" applyFont="1" applyBorder="1" applyAlignment="1">
      <alignment horizontal="right" vertical="center"/>
    </xf>
    <xf numFmtId="194" fontId="2" fillId="0" borderId="12" xfId="41" applyNumberFormat="1" applyFont="1" applyBorder="1" applyAlignment="1">
      <alignment horizontal="right" vertical="center"/>
    </xf>
    <xf numFmtId="194" fontId="2" fillId="0" borderId="12" xfId="41" applyNumberFormat="1" applyFont="1" applyBorder="1" applyAlignment="1">
      <alignment horizontal="right" vertical="center"/>
    </xf>
    <xf numFmtId="194" fontId="154" fillId="0" borderId="12" xfId="41" applyNumberFormat="1" applyFont="1" applyBorder="1" applyAlignment="1">
      <alignment horizontal="right" vertical="center"/>
    </xf>
    <xf numFmtId="3" fontId="2" fillId="0" borderId="12" xfId="68" applyNumberFormat="1" applyFont="1" applyBorder="1" applyAlignment="1" quotePrefix="1">
      <alignment horizontal="center" vertical="center" wrapText="1"/>
      <protection/>
    </xf>
    <xf numFmtId="1" fontId="3" fillId="0" borderId="0" xfId="68" applyNumberFormat="1" applyFont="1" applyAlignment="1">
      <alignment vertical="center"/>
      <protection/>
    </xf>
    <xf numFmtId="0" fontId="24" fillId="0" borderId="12" xfId="0" applyFont="1" applyBorder="1" applyAlignment="1">
      <alignment vertical="center" wrapText="1"/>
    </xf>
    <xf numFmtId="3" fontId="13" fillId="0" borderId="12" xfId="68" applyNumberFormat="1" applyFont="1" applyBorder="1" applyAlignment="1" quotePrefix="1">
      <alignment horizontal="center" vertical="center" wrapText="1"/>
      <protection/>
    </xf>
    <xf numFmtId="3" fontId="3" fillId="0" borderId="0" xfId="68" applyNumberFormat="1" applyFont="1" applyAlignment="1">
      <alignment vertical="center" wrapText="1"/>
      <protection/>
    </xf>
    <xf numFmtId="3" fontId="40" fillId="0" borderId="12" xfId="68" applyNumberFormat="1" applyFont="1" applyBorder="1" applyAlignment="1" quotePrefix="1">
      <alignment horizontal="center" vertical="center" wrapText="1"/>
      <protection/>
    </xf>
    <xf numFmtId="0" fontId="24" fillId="0" borderId="12" xfId="0" applyFont="1" applyBorder="1" applyAlignment="1">
      <alignment horizontal="center" vertical="center" wrapText="1"/>
    </xf>
    <xf numFmtId="0" fontId="24" fillId="0" borderId="12" xfId="0" applyFont="1" applyBorder="1" applyAlignment="1">
      <alignment horizontal="left" vertical="center" wrapText="1"/>
    </xf>
    <xf numFmtId="3" fontId="2" fillId="0" borderId="0" xfId="68" applyNumberFormat="1" applyFont="1" applyAlignment="1">
      <alignment vertical="center" wrapText="1"/>
      <protection/>
    </xf>
    <xf numFmtId="185" fontId="2" fillId="0" borderId="12" xfId="41" applyNumberFormat="1" applyFont="1" applyBorder="1" applyAlignment="1" quotePrefix="1">
      <alignment horizontal="center" vertical="center" wrapText="1"/>
    </xf>
    <xf numFmtId="3" fontId="24" fillId="0" borderId="12" xfId="68" applyNumberFormat="1" applyFont="1" applyBorder="1" applyAlignment="1" quotePrefix="1">
      <alignment horizontal="left" vertical="center" wrapText="1"/>
      <protection/>
    </xf>
    <xf numFmtId="185" fontId="3" fillId="0" borderId="12" xfId="41" applyNumberFormat="1" applyFont="1" applyBorder="1" applyAlignment="1">
      <alignment horizontal="right" vertical="center"/>
    </xf>
    <xf numFmtId="194" fontId="3" fillId="0" borderId="12" xfId="41" applyNumberFormat="1" applyFont="1" applyBorder="1" applyAlignment="1">
      <alignment horizontal="right" vertical="center"/>
    </xf>
    <xf numFmtId="194" fontId="155" fillId="0" borderId="12" xfId="41" applyNumberFormat="1" applyFont="1" applyBorder="1" applyAlignment="1">
      <alignment horizontal="right" vertical="center"/>
    </xf>
    <xf numFmtId="171" fontId="155" fillId="0" borderId="12" xfId="41" applyNumberFormat="1" applyFont="1" applyBorder="1" applyAlignment="1">
      <alignment horizontal="right" vertical="center"/>
    </xf>
    <xf numFmtId="1" fontId="3" fillId="0" borderId="12" xfId="68" applyNumberFormat="1" applyFont="1" applyBorder="1" applyAlignment="1">
      <alignment horizontal="right" vertical="center"/>
      <protection/>
    </xf>
    <xf numFmtId="1" fontId="3" fillId="0" borderId="12" xfId="68" applyNumberFormat="1" applyFont="1" applyBorder="1" applyAlignment="1">
      <alignment vertical="center"/>
      <protection/>
    </xf>
    <xf numFmtId="185" fontId="3" fillId="0" borderId="12" xfId="41" applyNumberFormat="1" applyFont="1" applyBorder="1" applyAlignment="1" quotePrefix="1">
      <alignment horizontal="center" vertical="center" wrapText="1"/>
    </xf>
    <xf numFmtId="194" fontId="3" fillId="0" borderId="12" xfId="41" applyNumberFormat="1" applyFont="1" applyBorder="1" applyAlignment="1" quotePrefix="1">
      <alignment horizontal="center" vertical="center" wrapText="1"/>
    </xf>
    <xf numFmtId="194" fontId="155" fillId="0" borderId="12" xfId="41" applyNumberFormat="1" applyFont="1" applyBorder="1" applyAlignment="1" quotePrefix="1">
      <alignment horizontal="center" vertical="center" wrapText="1"/>
    </xf>
    <xf numFmtId="171" fontId="155" fillId="0" borderId="12" xfId="41" applyNumberFormat="1" applyFont="1" applyBorder="1" applyAlignment="1" quotePrefix="1">
      <alignment horizontal="center" vertical="center" wrapText="1"/>
    </xf>
    <xf numFmtId="3" fontId="3" fillId="0" borderId="12" xfId="68" applyNumberFormat="1" applyFont="1" applyBorder="1" applyAlignment="1" quotePrefix="1">
      <alignment horizontal="center" vertical="center" wrapText="1"/>
      <protection/>
    </xf>
    <xf numFmtId="3" fontId="3" fillId="0" borderId="12" xfId="68" applyNumberFormat="1" applyFont="1" applyBorder="1" applyAlignment="1">
      <alignment vertical="center" wrapText="1"/>
      <protection/>
    </xf>
    <xf numFmtId="3" fontId="24" fillId="0" borderId="12" xfId="68" applyNumberFormat="1" applyFont="1" applyBorder="1" applyAlignment="1">
      <alignment horizontal="left" vertical="center" wrapText="1"/>
      <protection/>
    </xf>
    <xf numFmtId="171" fontId="154" fillId="0" borderId="12" xfId="41" applyNumberFormat="1" applyFont="1" applyBorder="1" applyAlignment="1" quotePrefix="1">
      <alignment horizontal="center" vertical="center" wrapText="1"/>
    </xf>
    <xf numFmtId="3" fontId="23" fillId="0" borderId="12" xfId="68" applyNumberFormat="1" applyFont="1" applyBorder="1" applyAlignment="1" quotePrefix="1">
      <alignment horizontal="left" vertical="center" wrapText="1"/>
      <protection/>
    </xf>
    <xf numFmtId="10" fontId="3" fillId="0" borderId="12" xfId="72" applyNumberFormat="1" applyFont="1" applyBorder="1" applyAlignment="1" quotePrefix="1">
      <alignment horizontal="center" vertical="center" wrapText="1"/>
    </xf>
    <xf numFmtId="3" fontId="3" fillId="0" borderId="12" xfId="68" applyNumberFormat="1" applyFont="1" applyBorder="1" applyAlignment="1" quotePrefix="1">
      <alignment horizontal="center" vertical="center" wrapText="1"/>
      <protection/>
    </xf>
    <xf numFmtId="10" fontId="3" fillId="0" borderId="12" xfId="72" applyNumberFormat="1" applyFont="1" applyBorder="1" applyAlignment="1">
      <alignment vertical="center" wrapText="1"/>
    </xf>
    <xf numFmtId="1" fontId="13" fillId="0" borderId="12" xfId="68" applyNumberFormat="1" applyFont="1" applyBorder="1" applyAlignment="1">
      <alignment horizontal="center" vertical="center"/>
      <protection/>
    </xf>
    <xf numFmtId="1" fontId="13" fillId="0" borderId="12" xfId="68" applyNumberFormat="1" applyFont="1" applyBorder="1" applyAlignment="1">
      <alignment vertical="center"/>
      <protection/>
    </xf>
    <xf numFmtId="185" fontId="3" fillId="0" borderId="12" xfId="41" applyNumberFormat="1" applyFont="1" applyBorder="1" applyAlignment="1">
      <alignment vertical="center"/>
    </xf>
    <xf numFmtId="194" fontId="3" fillId="0" borderId="12" xfId="41" applyNumberFormat="1" applyFont="1" applyBorder="1" applyAlignment="1">
      <alignment vertical="center"/>
    </xf>
    <xf numFmtId="194" fontId="155" fillId="0" borderId="12" xfId="41" applyNumberFormat="1" applyFont="1" applyBorder="1" applyAlignment="1">
      <alignment vertical="center"/>
    </xf>
    <xf numFmtId="171" fontId="155" fillId="0" borderId="12" xfId="41" applyNumberFormat="1" applyFont="1" applyBorder="1" applyAlignment="1">
      <alignment vertical="center"/>
    </xf>
    <xf numFmtId="194" fontId="2" fillId="0" borderId="12" xfId="41" applyNumberFormat="1" applyFont="1" applyBorder="1" applyAlignment="1">
      <alignment vertical="center"/>
    </xf>
    <xf numFmtId="194" fontId="2" fillId="0" borderId="12" xfId="41" applyNumberFormat="1" applyFont="1" applyBorder="1" applyAlignment="1">
      <alignment vertical="center"/>
    </xf>
    <xf numFmtId="10" fontId="2" fillId="0" borderId="12" xfId="72" applyNumberFormat="1" applyFont="1" applyBorder="1" applyAlignment="1" quotePrefix="1">
      <alignment horizontal="center" vertical="center" wrapText="1"/>
    </xf>
    <xf numFmtId="3" fontId="2" fillId="0" borderId="12" xfId="68" applyNumberFormat="1" applyFont="1" applyBorder="1" applyAlignment="1" quotePrefix="1">
      <alignment horizontal="center" vertical="center" wrapText="1"/>
      <protection/>
    </xf>
    <xf numFmtId="10" fontId="2" fillId="0" borderId="12" xfId="72" applyNumberFormat="1" applyFont="1" applyBorder="1" applyAlignment="1">
      <alignment vertical="center" wrapText="1"/>
    </xf>
    <xf numFmtId="1" fontId="40" fillId="0" borderId="12" xfId="68" applyNumberFormat="1" applyFont="1" applyBorder="1" applyAlignment="1">
      <alignment horizontal="center" vertical="center"/>
      <protection/>
    </xf>
    <xf numFmtId="1" fontId="40" fillId="0" borderId="12" xfId="68" applyNumberFormat="1" applyFont="1" applyBorder="1" applyAlignment="1">
      <alignment vertical="center"/>
      <protection/>
    </xf>
    <xf numFmtId="194" fontId="154" fillId="0" borderId="12" xfId="41" applyNumberFormat="1" applyFont="1" applyBorder="1" applyAlignment="1">
      <alignment vertical="center"/>
    </xf>
    <xf numFmtId="171" fontId="154" fillId="0" borderId="12" xfId="41" applyNumberFormat="1" applyFont="1" applyBorder="1" applyAlignment="1">
      <alignment vertical="center"/>
    </xf>
    <xf numFmtId="1" fontId="2" fillId="0" borderId="0" xfId="68" applyNumberFormat="1" applyFont="1" applyAlignment="1">
      <alignment vertical="center"/>
      <protection/>
    </xf>
    <xf numFmtId="171" fontId="3" fillId="0" borderId="12" xfId="41" applyNumberFormat="1" applyFont="1" applyBorder="1" applyAlignment="1">
      <alignment horizontal="right" vertical="center"/>
    </xf>
    <xf numFmtId="185" fontId="155" fillId="0" borderId="12" xfId="41" applyNumberFormat="1" applyFont="1" applyBorder="1" applyAlignment="1">
      <alignment vertical="center"/>
    </xf>
    <xf numFmtId="185" fontId="154" fillId="0" borderId="12" xfId="41" applyNumberFormat="1" applyFont="1" applyBorder="1" applyAlignment="1">
      <alignment vertical="center"/>
    </xf>
    <xf numFmtId="10" fontId="3" fillId="0" borderId="12" xfId="72" applyNumberFormat="1" applyFont="1" applyBorder="1" applyAlignment="1" quotePrefix="1">
      <alignment horizontal="center" vertical="center" wrapText="1"/>
    </xf>
    <xf numFmtId="10" fontId="3" fillId="0" borderId="12" xfId="72" applyNumberFormat="1" applyFont="1" applyBorder="1" applyAlignment="1">
      <alignment vertical="center" wrapText="1"/>
    </xf>
    <xf numFmtId="0" fontId="13" fillId="0" borderId="12" xfId="61" applyFont="1" applyBorder="1" applyAlignment="1">
      <alignment horizontal="right" vertical="center" wrapText="1"/>
      <protection/>
    </xf>
    <xf numFmtId="3" fontId="24" fillId="0" borderId="12" xfId="68" applyNumberFormat="1" applyFont="1" applyBorder="1" applyAlignment="1">
      <alignment horizontal="left" vertical="center" wrapText="1"/>
      <protection/>
    </xf>
    <xf numFmtId="185" fontId="2" fillId="0" borderId="12" xfId="41" applyNumberFormat="1" applyFont="1" applyBorder="1" applyAlignment="1">
      <alignment vertical="center"/>
    </xf>
    <xf numFmtId="185" fontId="2" fillId="0" borderId="12" xfId="41" applyNumberFormat="1" applyFont="1" applyBorder="1" applyAlignment="1">
      <alignment vertical="center"/>
    </xf>
    <xf numFmtId="1" fontId="2" fillId="0" borderId="0" xfId="68" applyNumberFormat="1" applyFont="1" applyAlignment="1">
      <alignment vertical="center"/>
      <protection/>
    </xf>
    <xf numFmtId="3" fontId="33" fillId="0" borderId="12" xfId="68" applyNumberFormat="1" applyFont="1" applyBorder="1" applyAlignment="1">
      <alignment horizontal="left" vertical="center" wrapText="1"/>
      <protection/>
    </xf>
    <xf numFmtId="0" fontId="13" fillId="0" borderId="12" xfId="61" applyFont="1" applyBorder="1" applyAlignment="1">
      <alignment horizontal="center" vertical="center" wrapText="1"/>
      <protection/>
    </xf>
    <xf numFmtId="0" fontId="13" fillId="0" borderId="12" xfId="0" applyFont="1" applyBorder="1" applyAlignment="1">
      <alignment horizontal="center" vertical="center" wrapText="1"/>
    </xf>
    <xf numFmtId="3" fontId="13" fillId="0" borderId="12" xfId="61" applyNumberFormat="1" applyFont="1" applyBorder="1" applyAlignment="1">
      <alignment horizontal="center" vertical="center" wrapText="1"/>
      <protection/>
    </xf>
    <xf numFmtId="0" fontId="3" fillId="0" borderId="12" xfId="61" applyFont="1" applyBorder="1" applyAlignment="1">
      <alignment horizontal="left" vertical="center" wrapText="1"/>
      <protection/>
    </xf>
    <xf numFmtId="3" fontId="156" fillId="0" borderId="33" xfId="61" applyNumberFormat="1" applyFont="1" applyBorder="1" applyAlignment="1">
      <alignment horizontal="center" vertical="center" wrapText="1"/>
      <protection/>
    </xf>
    <xf numFmtId="1" fontId="40" fillId="0" borderId="12" xfId="68" applyNumberFormat="1" applyFont="1" applyBorder="1" applyAlignment="1">
      <alignment horizontal="center" vertical="center" wrapText="1"/>
      <protection/>
    </xf>
    <xf numFmtId="0" fontId="40" fillId="0" borderId="12" xfId="61" applyFont="1" applyBorder="1" applyAlignment="1">
      <alignment horizontal="right" vertical="center" wrapText="1"/>
      <protection/>
    </xf>
    <xf numFmtId="3" fontId="132" fillId="0" borderId="12" xfId="68" applyNumberFormat="1" applyFont="1" applyBorder="1" applyAlignment="1" quotePrefix="1">
      <alignment horizontal="left" vertical="center" wrapText="1"/>
      <protection/>
    </xf>
    <xf numFmtId="0" fontId="25" fillId="0" borderId="12" xfId="0" applyFont="1" applyBorder="1" applyAlignment="1">
      <alignment horizontal="center" vertical="center" wrapText="1"/>
    </xf>
    <xf numFmtId="0" fontId="26" fillId="0" borderId="12" xfId="0" applyFont="1" applyBorder="1" applyAlignment="1">
      <alignment vertical="center" wrapText="1"/>
    </xf>
    <xf numFmtId="0" fontId="23" fillId="0" borderId="12" xfId="0" applyFont="1" applyBorder="1" applyAlignment="1">
      <alignment vertical="center" wrapText="1"/>
    </xf>
    <xf numFmtId="185" fontId="155" fillId="0" borderId="12" xfId="41" applyNumberFormat="1" applyFont="1" applyBorder="1" applyAlignment="1">
      <alignment horizontal="right" vertical="center"/>
    </xf>
    <xf numFmtId="3" fontId="37" fillId="0" borderId="12" xfId="0" applyNumberFormat="1" applyFont="1" applyBorder="1" applyAlignment="1">
      <alignment horizontal="left" vertical="center" wrapText="1"/>
    </xf>
    <xf numFmtId="171" fontId="2" fillId="0" borderId="12" xfId="41" applyNumberFormat="1" applyFont="1" applyBorder="1" applyAlignment="1">
      <alignment vertical="center"/>
    </xf>
    <xf numFmtId="0" fontId="157" fillId="0" borderId="12" xfId="0" applyFont="1" applyBorder="1" applyAlignment="1">
      <alignment horizontal="center" vertical="center" wrapText="1"/>
    </xf>
    <xf numFmtId="3" fontId="157" fillId="0" borderId="12" xfId="68" applyNumberFormat="1" applyFont="1" applyBorder="1" applyAlignment="1" quotePrefix="1">
      <alignment horizontal="left" vertical="center" wrapText="1"/>
      <protection/>
    </xf>
    <xf numFmtId="1" fontId="156" fillId="0" borderId="12" xfId="68" applyNumberFormat="1" applyFont="1" applyBorder="1" applyAlignment="1">
      <alignment horizontal="center" vertical="center" wrapText="1"/>
      <protection/>
    </xf>
    <xf numFmtId="1" fontId="156" fillId="0" borderId="12" xfId="68" applyNumberFormat="1" applyFont="1" applyBorder="1" applyAlignment="1">
      <alignment vertical="center"/>
      <protection/>
    </xf>
    <xf numFmtId="10" fontId="155" fillId="0" borderId="12" xfId="72" applyNumberFormat="1" applyFont="1" applyBorder="1" applyAlignment="1" quotePrefix="1">
      <alignment horizontal="center" vertical="center" wrapText="1"/>
    </xf>
    <xf numFmtId="3" fontId="155" fillId="0" borderId="12" xfId="68" applyNumberFormat="1" applyFont="1" applyBorder="1" applyAlignment="1" quotePrefix="1">
      <alignment horizontal="center" vertical="center" wrapText="1"/>
      <protection/>
    </xf>
    <xf numFmtId="10" fontId="155" fillId="0" borderId="12" xfId="72" applyNumberFormat="1" applyFont="1" applyBorder="1" applyAlignment="1">
      <alignment vertical="center" wrapText="1"/>
    </xf>
    <xf numFmtId="1" fontId="155" fillId="0" borderId="0" xfId="68" applyNumberFormat="1" applyFont="1" applyAlignment="1">
      <alignment vertical="center"/>
      <protection/>
    </xf>
    <xf numFmtId="0" fontId="132" fillId="0" borderId="12" xfId="0" applyFont="1" applyBorder="1" applyAlignment="1">
      <alignment horizontal="center" vertical="center" wrapText="1"/>
    </xf>
    <xf numFmtId="1" fontId="128" fillId="0" borderId="12" xfId="68" applyNumberFormat="1" applyFont="1" applyBorder="1" applyAlignment="1">
      <alignment horizontal="center" vertical="center" wrapText="1"/>
      <protection/>
    </xf>
    <xf numFmtId="1" fontId="128" fillId="0" borderId="12" xfId="68" applyNumberFormat="1" applyFont="1" applyBorder="1" applyAlignment="1">
      <alignment vertical="center"/>
      <protection/>
    </xf>
    <xf numFmtId="194" fontId="135" fillId="0" borderId="12" xfId="41" applyNumberFormat="1" applyFont="1" applyBorder="1" applyAlignment="1">
      <alignment horizontal="right" vertical="center"/>
    </xf>
    <xf numFmtId="185" fontId="135" fillId="0" borderId="12" xfId="41" applyNumberFormat="1" applyFont="1" applyBorder="1" applyAlignment="1">
      <alignment horizontal="right" vertical="center"/>
    </xf>
    <xf numFmtId="1" fontId="135" fillId="0" borderId="0" xfId="68" applyNumberFormat="1" applyFont="1" applyAlignment="1">
      <alignment vertical="center"/>
      <protection/>
    </xf>
    <xf numFmtId="0" fontId="24" fillId="0" borderId="33" xfId="61" applyFont="1" applyBorder="1" applyAlignment="1">
      <alignment horizontal="left" vertical="center" wrapText="1"/>
      <protection/>
    </xf>
    <xf numFmtId="0" fontId="24" fillId="0" borderId="15" xfId="0" applyFont="1" applyBorder="1" applyAlignment="1">
      <alignment vertical="center" wrapText="1"/>
    </xf>
    <xf numFmtId="3" fontId="23" fillId="0" borderId="12" xfId="68" applyNumberFormat="1" applyFont="1" applyBorder="1" applyAlignment="1">
      <alignment horizontal="left" vertical="center" wrapText="1"/>
      <protection/>
    </xf>
    <xf numFmtId="3" fontId="157" fillId="0" borderId="12" xfId="68" applyNumberFormat="1" applyFont="1" applyBorder="1" applyAlignment="1">
      <alignment horizontal="left" vertical="center" wrapText="1"/>
      <protection/>
    </xf>
    <xf numFmtId="3" fontId="132" fillId="0" borderId="12" xfId="68" applyNumberFormat="1" applyFont="1" applyBorder="1" applyAlignment="1">
      <alignment horizontal="left" vertical="center" wrapText="1"/>
      <protection/>
    </xf>
    <xf numFmtId="49" fontId="2" fillId="0" borderId="0" xfId="68" applyNumberFormat="1" applyFont="1" applyAlignment="1">
      <alignment vertical="center"/>
      <protection/>
    </xf>
    <xf numFmtId="1" fontId="13" fillId="0" borderId="0" xfId="68" applyNumberFormat="1" applyFont="1" applyAlignment="1">
      <alignment horizontal="center" vertical="center"/>
      <protection/>
    </xf>
    <xf numFmtId="194" fontId="3" fillId="0" borderId="0" xfId="41" applyNumberFormat="1" applyFont="1" applyAlignment="1">
      <alignment vertical="center"/>
    </xf>
    <xf numFmtId="185" fontId="3" fillId="0" borderId="0" xfId="41" applyNumberFormat="1" applyFont="1" applyAlignment="1">
      <alignment vertical="center"/>
    </xf>
    <xf numFmtId="194" fontId="155" fillId="0" borderId="0" xfId="41" applyNumberFormat="1" applyFont="1" applyAlignment="1">
      <alignment vertical="center"/>
    </xf>
    <xf numFmtId="49" fontId="2" fillId="0" borderId="0" xfId="68" applyNumberFormat="1" applyFont="1" applyAlignment="1">
      <alignment horizontal="center" vertical="center"/>
      <protection/>
    </xf>
    <xf numFmtId="1" fontId="3" fillId="0" borderId="0" xfId="68" applyNumberFormat="1" applyFont="1" applyAlignment="1">
      <alignment vertical="center" wrapText="1"/>
      <protection/>
    </xf>
    <xf numFmtId="1" fontId="13" fillId="0" borderId="0" xfId="68" applyNumberFormat="1" applyFont="1" applyAlignment="1">
      <alignment horizontal="center" vertical="center" wrapText="1"/>
      <protection/>
    </xf>
    <xf numFmtId="1" fontId="3" fillId="0" borderId="0" xfId="68" applyNumberFormat="1" applyFont="1" applyAlignment="1">
      <alignment horizontal="right" vertical="center"/>
      <protection/>
    </xf>
    <xf numFmtId="185" fontId="3" fillId="0" borderId="0" xfId="41" applyNumberFormat="1" applyFont="1" applyAlignment="1">
      <alignment horizontal="right" vertical="center"/>
    </xf>
    <xf numFmtId="194" fontId="155" fillId="0" borderId="0" xfId="41" applyNumberFormat="1" applyFont="1" applyAlignment="1">
      <alignment horizontal="right" vertical="center"/>
    </xf>
    <xf numFmtId="1" fontId="155" fillId="0" borderId="0" xfId="68" applyNumberFormat="1" applyFont="1" applyAlignment="1">
      <alignment horizontal="right" vertical="center"/>
      <protection/>
    </xf>
    <xf numFmtId="185" fontId="135" fillId="0" borderId="12" xfId="41" applyNumberFormat="1" applyFont="1" applyBorder="1" applyAlignment="1">
      <alignment vertical="center"/>
    </xf>
    <xf numFmtId="194" fontId="135" fillId="0" borderId="12" xfId="41" applyNumberFormat="1" applyFont="1" applyBorder="1" applyAlignment="1">
      <alignment vertical="center"/>
    </xf>
    <xf numFmtId="171" fontId="135" fillId="0" borderId="12" xfId="41" applyNumberFormat="1" applyFont="1" applyBorder="1" applyAlignment="1">
      <alignment horizontal="right" vertical="center"/>
    </xf>
    <xf numFmtId="10" fontId="135" fillId="0" borderId="12" xfId="72" applyNumberFormat="1" applyFont="1" applyBorder="1" applyAlignment="1" quotePrefix="1">
      <alignment horizontal="center" vertical="center" wrapText="1"/>
    </xf>
    <xf numFmtId="3" fontId="135" fillId="0" borderId="12" xfId="68" applyNumberFormat="1" applyFont="1" applyBorder="1" applyAlignment="1" quotePrefix="1">
      <alignment horizontal="center" vertical="center" wrapText="1"/>
      <protection/>
    </xf>
    <xf numFmtId="10" fontId="135" fillId="0" borderId="12" xfId="72" applyNumberFormat="1" applyFont="1" applyBorder="1" applyAlignment="1">
      <alignment vertical="center" wrapText="1"/>
    </xf>
    <xf numFmtId="0" fontId="2" fillId="0" borderId="12" xfId="63" applyFont="1" applyBorder="1" applyAlignment="1">
      <alignment horizontal="left" vertical="center"/>
      <protection/>
    </xf>
    <xf numFmtId="0" fontId="3" fillId="0" borderId="12" xfId="63" applyFont="1" applyBorder="1" applyAlignment="1">
      <alignment horizontal="left" vertical="center" wrapText="1"/>
      <protection/>
    </xf>
    <xf numFmtId="0" fontId="114" fillId="0" borderId="39" xfId="0" applyFont="1" applyBorder="1" applyAlignment="1">
      <alignment horizontal="center" vertical="center" wrapText="1"/>
    </xf>
    <xf numFmtId="0" fontId="114" fillId="0" borderId="40" xfId="0" applyFont="1" applyBorder="1" applyAlignment="1">
      <alignment vertical="center" wrapText="1"/>
    </xf>
    <xf numFmtId="185" fontId="114" fillId="0" borderId="12" xfId="41" applyNumberFormat="1" applyFont="1" applyBorder="1" applyAlignment="1">
      <alignment vertical="center" wrapText="1"/>
    </xf>
    <xf numFmtId="3" fontId="3" fillId="0" borderId="0" xfId="63" applyNumberFormat="1" applyFont="1">
      <alignment/>
      <protection/>
    </xf>
    <xf numFmtId="0" fontId="4" fillId="0" borderId="12" xfId="0" applyFont="1" applyBorder="1" applyAlignment="1">
      <alignment vertical="center"/>
    </xf>
    <xf numFmtId="3" fontId="4" fillId="0" borderId="12" xfId="0" applyNumberFormat="1" applyFont="1" applyBorder="1" applyAlignment="1">
      <alignment vertical="center"/>
    </xf>
    <xf numFmtId="184" fontId="18" fillId="0" borderId="33" xfId="41" applyNumberFormat="1" applyFont="1" applyBorder="1" applyAlignment="1">
      <alignment vertical="center"/>
    </xf>
    <xf numFmtId="185" fontId="18" fillId="0" borderId="35" xfId="41" applyNumberFormat="1" applyFont="1" applyBorder="1" applyAlignment="1">
      <alignment vertical="center"/>
    </xf>
    <xf numFmtId="3" fontId="5" fillId="0" borderId="36" xfId="0" applyNumberFormat="1" applyFont="1" applyBorder="1" applyAlignment="1">
      <alignment vertical="center"/>
    </xf>
    <xf numFmtId="185" fontId="18" fillId="0" borderId="12" xfId="41" applyNumberFormat="1" applyFont="1" applyBorder="1" applyAlignment="1">
      <alignment vertical="center"/>
    </xf>
    <xf numFmtId="0" fontId="6" fillId="0" borderId="12" xfId="0" applyFont="1" applyBorder="1" applyAlignment="1">
      <alignment vertical="center"/>
    </xf>
    <xf numFmtId="0" fontId="2" fillId="0" borderId="12" xfId="0" applyFont="1" applyFill="1" applyBorder="1" applyAlignment="1">
      <alignment vertical="center"/>
    </xf>
    <xf numFmtId="3" fontId="4" fillId="0" borderId="12" xfId="0" applyNumberFormat="1" applyFont="1" applyFill="1" applyBorder="1" applyAlignment="1">
      <alignment vertical="center"/>
    </xf>
    <xf numFmtId="3" fontId="5" fillId="0" borderId="12" xfId="0" applyNumberFormat="1" applyFont="1" applyFill="1" applyBorder="1" applyAlignment="1">
      <alignment vertical="center"/>
    </xf>
    <xf numFmtId="3" fontId="2" fillId="0" borderId="0" xfId="0" applyNumberFormat="1" applyFont="1" applyAlignment="1">
      <alignment vertical="center"/>
    </xf>
    <xf numFmtId="0" fontId="4" fillId="0" borderId="12" xfId="0" applyFont="1" applyBorder="1" applyAlignment="1">
      <alignment horizontal="center" vertical="center"/>
    </xf>
    <xf numFmtId="183" fontId="3" fillId="0" borderId="12" xfId="41" applyNumberFormat="1" applyFont="1" applyBorder="1" applyAlignment="1">
      <alignment vertical="center"/>
    </xf>
    <xf numFmtId="3" fontId="4" fillId="0" borderId="0" xfId="0" applyNumberFormat="1" applyFont="1" applyAlignment="1">
      <alignment vertical="center"/>
    </xf>
    <xf numFmtId="184" fontId="158" fillId="0" borderId="12" xfId="0" applyNumberFormat="1" applyFont="1" applyFill="1" applyBorder="1" applyAlignment="1">
      <alignment horizontal="center" vertical="center" wrapText="1"/>
    </xf>
    <xf numFmtId="184" fontId="159" fillId="0" borderId="12" xfId="0" applyNumberFormat="1" applyFont="1" applyFill="1" applyBorder="1" applyAlignment="1">
      <alignment horizontal="center" vertical="center" wrapText="1"/>
    </xf>
    <xf numFmtId="0" fontId="144" fillId="0" borderId="12" xfId="0" applyFont="1" applyFill="1" applyBorder="1" applyAlignment="1">
      <alignment horizontal="center" vertical="center" wrapText="1"/>
    </xf>
    <xf numFmtId="184" fontId="144" fillId="0" borderId="12" xfId="41" applyNumberFormat="1" applyFont="1" applyFill="1" applyBorder="1" applyAlignment="1">
      <alignment horizontal="center" vertical="center" wrapText="1"/>
    </xf>
    <xf numFmtId="184" fontId="159" fillId="0" borderId="12" xfId="41" applyNumberFormat="1" applyFont="1" applyFill="1" applyBorder="1" applyAlignment="1">
      <alignment horizontal="center" vertical="center" wrapText="1"/>
    </xf>
    <xf numFmtId="0" fontId="139" fillId="0" borderId="0" xfId="0" applyFont="1" applyAlignment="1">
      <alignment horizontal="center" vertical="center"/>
    </xf>
    <xf numFmtId="0" fontId="139" fillId="0" borderId="0" xfId="0" applyFont="1" applyAlignment="1">
      <alignment horizontal="center"/>
    </xf>
    <xf numFmtId="0" fontId="19" fillId="0" borderId="0" xfId="0" applyFont="1" applyAlignment="1">
      <alignment horizontal="center"/>
    </xf>
    <xf numFmtId="0" fontId="147" fillId="0" borderId="41" xfId="0" applyFont="1" applyBorder="1" applyAlignment="1">
      <alignment horizontal="left" wrapText="1"/>
    </xf>
    <xf numFmtId="0" fontId="139" fillId="0" borderId="12" xfId="0" applyFont="1" applyBorder="1" applyAlignment="1">
      <alignment horizontal="center" vertical="center" wrapText="1"/>
    </xf>
    <xf numFmtId="0" fontId="139" fillId="0" borderId="0" xfId="0" applyFont="1" applyAlignment="1">
      <alignment horizontal="center" vertical="center"/>
    </xf>
    <xf numFmtId="0" fontId="4" fillId="0" borderId="42" xfId="0" applyFont="1" applyBorder="1" applyAlignment="1">
      <alignment horizontal="center"/>
    </xf>
    <xf numFmtId="0" fontId="13" fillId="0" borderId="0" xfId="66" applyNumberFormat="1" applyFont="1" applyFill="1" applyAlignment="1">
      <alignment horizontal="center" vertical="center" wrapText="1"/>
      <protection/>
    </xf>
    <xf numFmtId="0" fontId="2" fillId="0" borderId="0" xfId="0" applyFont="1" applyAlignment="1">
      <alignment horizontal="center" vertical="center"/>
    </xf>
    <xf numFmtId="0" fontId="147" fillId="0" borderId="41" xfId="0" applyFont="1" applyBorder="1" applyAlignment="1">
      <alignment horizontal="left" vertical="center" wrapText="1"/>
    </xf>
    <xf numFmtId="0" fontId="139" fillId="0" borderId="0" xfId="0" applyFont="1" applyAlignment="1">
      <alignment horizontal="center"/>
    </xf>
    <xf numFmtId="0" fontId="145" fillId="0" borderId="12" xfId="0" applyFont="1" applyBorder="1" applyAlignment="1">
      <alignment horizontal="center" vertical="center" wrapText="1"/>
    </xf>
    <xf numFmtId="0" fontId="144" fillId="0" borderId="12" xfId="0" applyFont="1" applyBorder="1" applyAlignment="1">
      <alignment horizontal="center" vertical="center" wrapText="1"/>
    </xf>
    <xf numFmtId="0" fontId="141" fillId="0" borderId="41" xfId="0" applyFont="1" applyBorder="1" applyAlignment="1">
      <alignment horizontal="left" vertical="center" wrapText="1"/>
    </xf>
    <xf numFmtId="0" fontId="4" fillId="0" borderId="42" xfId="0" applyFont="1" applyBorder="1" applyAlignment="1">
      <alignment horizontal="center" vertical="center"/>
    </xf>
    <xf numFmtId="0" fontId="135" fillId="0" borderId="0" xfId="0" applyFont="1" applyFill="1" applyAlignment="1">
      <alignment horizontal="center" vertical="center"/>
    </xf>
    <xf numFmtId="0" fontId="142" fillId="0" borderId="0" xfId="0" applyFont="1" applyAlignment="1">
      <alignment horizontal="left" wrapText="1"/>
    </xf>
    <xf numFmtId="0" fontId="2" fillId="0" borderId="12" xfId="0" applyFont="1" applyBorder="1" applyAlignment="1">
      <alignment horizontal="center" vertical="center" wrapText="1"/>
    </xf>
    <xf numFmtId="0" fontId="2" fillId="0" borderId="0" xfId="0" applyFont="1" applyAlignment="1">
      <alignment horizontal="center"/>
    </xf>
    <xf numFmtId="0" fontId="2" fillId="0" borderId="12" xfId="0" applyFont="1" applyBorder="1" applyAlignment="1">
      <alignment horizontal="center" vertical="center"/>
    </xf>
    <xf numFmtId="0" fontId="2" fillId="0" borderId="12" xfId="0" applyFont="1" applyBorder="1" applyAlignment="1" quotePrefix="1">
      <alignment horizontal="center" vertical="center"/>
    </xf>
    <xf numFmtId="0" fontId="4" fillId="0" borderId="0" xfId="0" applyFont="1" applyBorder="1" applyAlignment="1">
      <alignment horizontal="right"/>
    </xf>
    <xf numFmtId="0" fontId="36" fillId="0" borderId="42" xfId="0" applyFont="1" applyBorder="1" applyAlignment="1">
      <alignment horizontal="center"/>
    </xf>
    <xf numFmtId="0" fontId="2" fillId="0" borderId="3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11" xfId="0" applyFont="1" applyBorder="1" applyAlignment="1">
      <alignment horizontal="center" vertical="center"/>
    </xf>
    <xf numFmtId="0" fontId="2" fillId="0" borderId="3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8" fillId="0" borderId="0" xfId="0" applyFont="1" applyAlignment="1">
      <alignment horizontal="center" vertical="center"/>
    </xf>
    <xf numFmtId="0" fontId="28" fillId="0" borderId="0" xfId="0" applyFont="1" applyBorder="1" applyAlignment="1">
      <alignment horizontal="center" vertical="center"/>
    </xf>
    <xf numFmtId="0" fontId="2" fillId="0" borderId="36" xfId="0" applyFont="1" applyBorder="1" applyAlignment="1">
      <alignment horizontal="center" vertical="center"/>
    </xf>
    <xf numFmtId="0" fontId="2" fillId="0" borderId="15" xfId="0" applyFont="1" applyBorder="1" applyAlignment="1" quotePrefix="1">
      <alignment horizontal="center" vertical="center"/>
    </xf>
    <xf numFmtId="0" fontId="2" fillId="0" borderId="29" xfId="0" applyFont="1" applyBorder="1" applyAlignment="1" quotePrefix="1">
      <alignment horizontal="center" vertical="center"/>
    </xf>
    <xf numFmtId="0" fontId="151" fillId="0" borderId="0" xfId="0" applyFont="1" applyBorder="1" applyAlignment="1">
      <alignment horizontal="center" vertical="center" wrapText="1"/>
    </xf>
    <xf numFmtId="0" fontId="3" fillId="0" borderId="0" xfId="66" applyNumberFormat="1" applyFont="1" applyFill="1" applyAlignment="1">
      <alignment horizontal="center" vertical="center" wrapText="1"/>
      <protection/>
    </xf>
    <xf numFmtId="3" fontId="3" fillId="0" borderId="0" xfId="0" applyNumberFormat="1" applyFont="1" applyBorder="1" applyAlignment="1">
      <alignment horizontal="center"/>
    </xf>
    <xf numFmtId="0" fontId="4" fillId="0" borderId="0" xfId="0" applyFont="1" applyBorder="1" applyAlignment="1">
      <alignment horizontal="center"/>
    </xf>
    <xf numFmtId="0" fontId="2" fillId="0" borderId="12" xfId="63" applyFont="1" applyBorder="1" applyAlignment="1">
      <alignment horizontal="center" vertical="center" wrapText="1"/>
      <protection/>
    </xf>
    <xf numFmtId="0" fontId="4" fillId="0" borderId="42" xfId="63" applyFont="1" applyBorder="1" applyAlignment="1">
      <alignment horizontal="center" vertical="center"/>
      <protection/>
    </xf>
    <xf numFmtId="0" fontId="2" fillId="0" borderId="0" xfId="63" applyFont="1" applyAlignment="1">
      <alignment horizontal="center"/>
      <protection/>
    </xf>
    <xf numFmtId="0" fontId="2" fillId="0" borderId="36" xfId="63" applyFont="1" applyBorder="1" applyAlignment="1">
      <alignment horizontal="center" vertical="center"/>
      <protection/>
    </xf>
    <xf numFmtId="0" fontId="2" fillId="0" borderId="15" xfId="63" applyFont="1" applyBorder="1" applyAlignment="1" quotePrefix="1">
      <alignment horizontal="center" vertical="center"/>
      <protection/>
    </xf>
    <xf numFmtId="0" fontId="2" fillId="0" borderId="29" xfId="63" applyFont="1" applyBorder="1" applyAlignment="1" quotePrefix="1">
      <alignment horizontal="center" vertical="center"/>
      <protection/>
    </xf>
    <xf numFmtId="0" fontId="2" fillId="0" borderId="12" xfId="63" applyFont="1" applyBorder="1" applyAlignment="1">
      <alignment horizontal="center" vertical="center"/>
      <protection/>
    </xf>
    <xf numFmtId="3" fontId="2" fillId="0" borderId="12" xfId="63" applyNumberFormat="1" applyFont="1" applyBorder="1" applyAlignment="1">
      <alignment horizontal="center" vertical="center"/>
      <protection/>
    </xf>
    <xf numFmtId="0" fontId="2" fillId="0" borderId="38" xfId="63" applyFont="1" applyBorder="1" applyAlignment="1">
      <alignment horizontal="center" vertical="center" wrapText="1"/>
      <protection/>
    </xf>
    <xf numFmtId="0" fontId="2" fillId="0" borderId="37"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4" fillId="0" borderId="0" xfId="63" applyFont="1" applyBorder="1" applyAlignment="1">
      <alignment horizontal="center"/>
      <protection/>
    </xf>
    <xf numFmtId="0" fontId="4" fillId="0" borderId="0" xfId="63" applyFont="1" applyBorder="1" applyAlignment="1">
      <alignment horizontal="right"/>
      <protection/>
    </xf>
    <xf numFmtId="1" fontId="28" fillId="0" borderId="0" xfId="68" applyNumberFormat="1" applyFont="1" applyAlignment="1">
      <alignment horizontal="center" vertical="center" wrapText="1"/>
      <protection/>
    </xf>
    <xf numFmtId="0" fontId="28" fillId="0" borderId="0" xfId="65" applyFont="1" applyAlignment="1">
      <alignment horizontal="center" vertical="center" wrapText="1"/>
    </xf>
    <xf numFmtId="49" fontId="40" fillId="0" borderId="12" xfId="68" applyNumberFormat="1" applyFont="1" applyBorder="1" applyAlignment="1">
      <alignment horizontal="center" vertical="center" wrapText="1"/>
      <protection/>
    </xf>
    <xf numFmtId="3" fontId="40" fillId="0" borderId="12" xfId="68" applyNumberFormat="1" applyFont="1" applyBorder="1" applyAlignment="1">
      <alignment horizontal="center" vertical="center" wrapText="1"/>
      <protection/>
    </xf>
    <xf numFmtId="3" fontId="40" fillId="0" borderId="36" xfId="68" applyNumberFormat="1" applyFont="1" applyBorder="1" applyAlignment="1">
      <alignment horizontal="center" vertical="center" wrapText="1"/>
      <protection/>
    </xf>
    <xf numFmtId="3" fontId="40" fillId="0" borderId="15" xfId="68" applyNumberFormat="1" applyFont="1" applyBorder="1" applyAlignment="1">
      <alignment horizontal="center" vertical="center" wrapText="1"/>
      <protection/>
    </xf>
    <xf numFmtId="3" fontId="40" fillId="0" borderId="29" xfId="68" applyNumberFormat="1" applyFont="1" applyBorder="1" applyAlignment="1">
      <alignment horizontal="center" vertical="center" wrapText="1"/>
      <protection/>
    </xf>
    <xf numFmtId="3" fontId="160" fillId="0" borderId="12" xfId="68" applyNumberFormat="1" applyFont="1" applyBorder="1" applyAlignment="1">
      <alignment horizontal="center" vertical="center" wrapText="1"/>
      <protection/>
    </xf>
    <xf numFmtId="3" fontId="160" fillId="0" borderId="38" xfId="68" applyNumberFormat="1" applyFont="1" applyBorder="1" applyAlignment="1">
      <alignment horizontal="center" vertical="center" wrapText="1"/>
      <protection/>
    </xf>
    <xf numFmtId="185" fontId="40" fillId="0" borderId="38" xfId="41" applyNumberFormat="1" applyFont="1" applyBorder="1" applyAlignment="1">
      <alignment horizontal="center" vertical="center" wrapText="1"/>
    </xf>
    <xf numFmtId="185" fontId="40" fillId="0" borderId="37" xfId="41" applyNumberFormat="1" applyFont="1" applyBorder="1" applyAlignment="1">
      <alignment horizontal="center" vertical="center" wrapText="1"/>
    </xf>
    <xf numFmtId="185" fontId="40" fillId="0" borderId="11" xfId="41" applyNumberFormat="1" applyFont="1" applyBorder="1" applyAlignment="1">
      <alignment horizontal="center" vertical="center" wrapText="1"/>
    </xf>
    <xf numFmtId="194" fontId="40" fillId="0" borderId="12" xfId="41" applyNumberFormat="1" applyFont="1" applyBorder="1" applyAlignment="1">
      <alignment horizontal="center" vertical="center" wrapText="1"/>
    </xf>
    <xf numFmtId="194" fontId="2" fillId="0" borderId="12" xfId="41" applyNumberFormat="1" applyFont="1" applyBorder="1" applyAlignment="1">
      <alignment horizontal="center" vertical="center" wrapText="1"/>
    </xf>
    <xf numFmtId="185" fontId="40" fillId="0" borderId="43" xfId="41" applyNumberFormat="1" applyFont="1" applyBorder="1" applyAlignment="1">
      <alignment horizontal="center" vertical="center" wrapText="1"/>
    </xf>
    <xf numFmtId="185" fontId="40" fillId="0" borderId="41" xfId="41" applyNumberFormat="1" applyFont="1" applyBorder="1" applyAlignment="1">
      <alignment horizontal="center" vertical="center" wrapText="1"/>
    </xf>
    <xf numFmtId="185" fontId="40" fillId="0" borderId="44" xfId="41" applyNumberFormat="1" applyFont="1" applyBorder="1" applyAlignment="1">
      <alignment horizontal="center" vertical="center" wrapText="1"/>
    </xf>
    <xf numFmtId="185" fontId="40" fillId="0" borderId="45" xfId="41" applyNumberFormat="1" applyFont="1" applyBorder="1" applyAlignment="1">
      <alignment horizontal="center" vertical="center" wrapText="1"/>
    </xf>
    <xf numFmtId="185" fontId="40" fillId="0" borderId="42" xfId="41" applyNumberFormat="1" applyFont="1" applyBorder="1" applyAlignment="1">
      <alignment horizontal="center" vertical="center" wrapText="1"/>
    </xf>
    <xf numFmtId="185" fontId="40" fillId="0" borderId="46" xfId="41" applyNumberFormat="1" applyFont="1" applyBorder="1" applyAlignment="1">
      <alignment horizontal="center" vertical="center" wrapText="1"/>
    </xf>
    <xf numFmtId="3" fontId="40" fillId="0" borderId="38" xfId="68" applyNumberFormat="1" applyFont="1" applyBorder="1" applyAlignment="1">
      <alignment horizontal="center" vertical="center" wrapText="1"/>
      <protection/>
    </xf>
    <xf numFmtId="3" fontId="40" fillId="0" borderId="37" xfId="68" applyNumberFormat="1" applyFont="1" applyBorder="1" applyAlignment="1">
      <alignment horizontal="center" vertical="center" wrapText="1"/>
      <protection/>
    </xf>
    <xf numFmtId="3" fontId="40" fillId="0" borderId="11" xfId="68" applyNumberFormat="1" applyFont="1" applyBorder="1" applyAlignment="1">
      <alignment horizontal="center" vertical="center" wrapText="1"/>
      <protection/>
    </xf>
    <xf numFmtId="185" fontId="40" fillId="0" borderId="12" xfId="41" applyNumberFormat="1" applyFont="1" applyBorder="1" applyAlignment="1">
      <alignment horizontal="center" vertical="center" wrapText="1"/>
    </xf>
    <xf numFmtId="194" fontId="160" fillId="0" borderId="12" xfId="41" applyNumberFormat="1" applyFont="1" applyBorder="1" applyAlignment="1">
      <alignment horizontal="center" vertical="center" wrapText="1"/>
    </xf>
    <xf numFmtId="185" fontId="29" fillId="0" borderId="0" xfId="41" applyNumberFormat="1" applyFont="1" applyBorder="1" applyAlignment="1">
      <alignment horizontal="center"/>
    </xf>
    <xf numFmtId="0" fontId="28" fillId="0" borderId="0" xfId="63" applyFont="1" applyBorder="1" applyAlignment="1">
      <alignment horizontal="center"/>
      <protection/>
    </xf>
    <xf numFmtId="0" fontId="137" fillId="33" borderId="0" xfId="0" applyFont="1" applyFill="1" applyAlignment="1">
      <alignment horizontal="center" vertical="center"/>
    </xf>
    <xf numFmtId="171" fontId="137" fillId="33" borderId="0" xfId="41" applyNumberFormat="1" applyFont="1" applyFill="1" applyAlignment="1">
      <alignment horizontal="center"/>
    </xf>
    <xf numFmtId="0" fontId="161" fillId="33" borderId="0" xfId="0" applyFont="1" applyFill="1" applyAlignment="1">
      <alignment horizontal="center"/>
    </xf>
    <xf numFmtId="0" fontId="2" fillId="0" borderId="14" xfId="63" applyFont="1" applyBorder="1" applyAlignment="1">
      <alignment horizontal="center"/>
      <protection/>
    </xf>
    <xf numFmtId="169" fontId="3" fillId="0" borderId="0" xfId="69" applyNumberFormat="1" applyFont="1" applyBorder="1" applyAlignment="1">
      <alignment horizontal="center" shrinkToFit="1"/>
      <protection/>
    </xf>
    <xf numFmtId="3" fontId="4" fillId="0" borderId="0" xfId="63" applyNumberFormat="1" applyFont="1" applyBorder="1" applyAlignment="1">
      <alignment horizontal="center" shrinkToFit="1"/>
      <protection/>
    </xf>
    <xf numFmtId="3" fontId="27" fillId="0" borderId="0" xfId="63" applyNumberFormat="1" applyFont="1" applyBorder="1" applyAlignment="1">
      <alignment horizontal="center" shrinkToFit="1"/>
      <protection/>
    </xf>
    <xf numFmtId="0" fontId="28" fillId="0" borderId="0" xfId="63" applyFont="1" applyFill="1" applyBorder="1" applyAlignment="1">
      <alignment horizontal="center" vertical="center" wrapText="1"/>
      <protection/>
    </xf>
    <xf numFmtId="0" fontId="24" fillId="33" borderId="12" xfId="41" applyNumberFormat="1" applyFont="1" applyFill="1" applyBorder="1" applyAlignment="1">
      <alignment horizontal="center" vertical="center" wrapText="1"/>
    </xf>
    <xf numFmtId="185" fontId="24" fillId="33" borderId="12" xfId="41" applyNumberFormat="1" applyFont="1" applyFill="1" applyBorder="1" applyAlignment="1">
      <alignment horizontal="center" vertical="center" wrapText="1"/>
    </xf>
    <xf numFmtId="185" fontId="131" fillId="33" borderId="36" xfId="41" applyNumberFormat="1" applyFont="1" applyFill="1" applyBorder="1" applyAlignment="1">
      <alignment horizontal="center" vertical="center" wrapText="1"/>
    </xf>
    <xf numFmtId="185" fontId="131" fillId="33" borderId="29" xfId="41" applyNumberFormat="1" applyFont="1" applyFill="1" applyBorder="1" applyAlignment="1">
      <alignment horizontal="center" vertical="center" wrapText="1"/>
    </xf>
    <xf numFmtId="190" fontId="24" fillId="33" borderId="36" xfId="41" applyNumberFormat="1" applyFont="1" applyFill="1" applyBorder="1" applyAlignment="1">
      <alignment horizontal="center" vertical="center" wrapText="1"/>
    </xf>
    <xf numFmtId="190" fontId="24" fillId="33" borderId="29" xfId="41" applyNumberFormat="1" applyFont="1" applyFill="1" applyBorder="1" applyAlignment="1">
      <alignment horizontal="center" vertical="center" wrapText="1"/>
    </xf>
    <xf numFmtId="1" fontId="24" fillId="33" borderId="12" xfId="41" applyNumberFormat="1" applyFont="1" applyFill="1" applyBorder="1" applyAlignment="1">
      <alignment horizontal="center" vertical="center" wrapText="1"/>
    </xf>
    <xf numFmtId="0" fontId="23" fillId="33" borderId="12" xfId="41" applyNumberFormat="1" applyFont="1" applyFill="1" applyBorder="1" applyAlignment="1">
      <alignment horizontal="center" vertical="center" wrapText="1"/>
    </xf>
    <xf numFmtId="171" fontId="24" fillId="33" borderId="12" xfId="41" applyNumberFormat="1" applyFont="1" applyFill="1" applyBorder="1" applyAlignment="1">
      <alignment horizontal="center" vertical="center" wrapText="1"/>
    </xf>
    <xf numFmtId="190" fontId="24" fillId="33" borderId="12" xfId="41" applyNumberFormat="1" applyFont="1" applyFill="1" applyBorder="1" applyAlignment="1">
      <alignment horizontal="center" vertical="center" wrapText="1"/>
    </xf>
    <xf numFmtId="171" fontId="131" fillId="33" borderId="12" xfId="41" applyNumberFormat="1" applyFont="1" applyFill="1" applyBorder="1" applyAlignment="1">
      <alignment horizontal="center" vertical="center" wrapText="1"/>
    </xf>
    <xf numFmtId="0" fontId="19" fillId="33" borderId="47"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0" xfId="0" applyFont="1" applyFill="1" applyAlignment="1">
      <alignment horizontal="center" vertical="center"/>
    </xf>
    <xf numFmtId="0" fontId="23" fillId="33" borderId="12"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120" fillId="0" borderId="12" xfId="67" applyFont="1" applyBorder="1" applyAlignment="1">
      <alignment horizontal="center" vertical="center"/>
      <protection/>
    </xf>
    <xf numFmtId="0" fontId="2" fillId="0" borderId="12" xfId="67" applyFont="1" applyBorder="1" applyAlignment="1">
      <alignment horizontal="center" vertical="center" wrapText="1"/>
      <protection/>
    </xf>
    <xf numFmtId="0" fontId="120" fillId="0" borderId="12" xfId="67" applyFont="1" applyBorder="1" applyAlignment="1">
      <alignment horizontal="center" vertical="center" wrapText="1"/>
      <protection/>
    </xf>
    <xf numFmtId="0" fontId="2" fillId="0" borderId="0" xfId="66" applyNumberFormat="1" applyFont="1" applyFill="1" applyAlignment="1">
      <alignment horizontal="center" vertical="center" wrapText="1"/>
      <protection/>
    </xf>
    <xf numFmtId="182" fontId="3" fillId="0" borderId="12" xfId="66" applyNumberFormat="1" applyFont="1" applyFill="1" applyBorder="1" applyAlignment="1" applyProtection="1">
      <alignment horizontal="center" vertical="center" wrapText="1"/>
      <protection/>
    </xf>
    <xf numFmtId="0" fontId="2" fillId="0" borderId="0" xfId="0" applyFont="1" applyAlignment="1" quotePrefix="1">
      <alignment horizontal="center" vertical="center"/>
    </xf>
    <xf numFmtId="0" fontId="2" fillId="0" borderId="0" xfId="0" applyFont="1" applyAlignment="1" quotePrefix="1">
      <alignment horizontal="center" vertical="center"/>
    </xf>
    <xf numFmtId="0" fontId="143" fillId="0" borderId="0" xfId="0" applyFont="1" applyAlignment="1">
      <alignment horizontal="center" vertical="center"/>
    </xf>
    <xf numFmtId="0" fontId="139" fillId="0" borderId="0" xfId="0" applyFont="1" applyAlignment="1" quotePrefix="1">
      <alignment horizontal="center" vertical="center"/>
    </xf>
    <xf numFmtId="0" fontId="2" fillId="0" borderId="0" xfId="0" applyFont="1" applyAlignment="1" quotePrefix="1">
      <alignment vertical="center"/>
    </xf>
    <xf numFmtId="0" fontId="139" fillId="0" borderId="0" xfId="0" applyFont="1" applyAlignment="1" quotePrefix="1">
      <alignment horizontal="center"/>
    </xf>
    <xf numFmtId="0" fontId="97" fillId="0" borderId="0" xfId="66" applyNumberFormat="1" applyFont="1" applyFill="1" applyAlignment="1">
      <alignment horizontal="center" vertical="center"/>
      <protection/>
    </xf>
    <xf numFmtId="0" fontId="97" fillId="0" borderId="0" xfId="0" applyFont="1" applyAlignment="1">
      <alignment horizontal="center" vertical="center"/>
    </xf>
    <xf numFmtId="0" fontId="162" fillId="0" borderId="0" xfId="0" applyFont="1" applyAlignment="1">
      <alignment horizontal="center" vertical="center"/>
    </xf>
    <xf numFmtId="0" fontId="163" fillId="0" borderId="0" xfId="0" applyFont="1" applyAlignment="1">
      <alignment horizontal="center" vertical="center"/>
    </xf>
    <xf numFmtId="0" fontId="139" fillId="0" borderId="0" xfId="0" applyFont="1" applyAlignment="1" quotePrefix="1">
      <alignment horizontal="center" vertical="center"/>
    </xf>
    <xf numFmtId="0" fontId="164" fillId="0" borderId="0" xfId="0" applyFont="1" applyAlignment="1">
      <alignment horizontal="left" vertical="top" wrapText="1"/>
    </xf>
    <xf numFmtId="0" fontId="164" fillId="0" borderId="0" xfId="0" applyFont="1" applyAlignment="1">
      <alignment horizontal="left"/>
    </xf>
    <xf numFmtId="0" fontId="139" fillId="0" borderId="0" xfId="0" applyFont="1" applyAlignment="1" quotePrefix="1">
      <alignment horizontal="center"/>
    </xf>
    <xf numFmtId="0" fontId="164" fillId="0" borderId="0" xfId="0" applyFont="1" applyAlignment="1">
      <alignment horizontal="center" vertical="center" wrapText="1" shrinkToFit="1"/>
    </xf>
    <xf numFmtId="0" fontId="165" fillId="0" borderId="0" xfId="0" applyFont="1" applyAlignment="1">
      <alignment horizontal="center"/>
    </xf>
    <xf numFmtId="0" fontId="114" fillId="0" borderId="0" xfId="0" applyFont="1" applyAlignment="1" quotePrefix="1">
      <alignment horizontal="center"/>
    </xf>
    <xf numFmtId="0" fontId="114" fillId="0" borderId="0" xfId="0" applyFont="1" applyAlignment="1">
      <alignment horizontal="center"/>
    </xf>
    <xf numFmtId="0" fontId="114" fillId="0" borderId="0" xfId="0" applyFont="1" applyAlignment="1" quotePrefix="1">
      <alignment horizontal="center"/>
    </xf>
    <xf numFmtId="0" fontId="114" fillId="0" borderId="0" xfId="0" applyFont="1" applyAlignment="1">
      <alignment horizontal="center"/>
    </xf>
    <xf numFmtId="0" fontId="162" fillId="0" borderId="0" xfId="0" applyFont="1" applyAlignment="1">
      <alignment horizontal="center"/>
    </xf>
    <xf numFmtId="0" fontId="97" fillId="0" borderId="0" xfId="66" applyNumberFormat="1" applyFont="1" applyFill="1" applyAlignment="1">
      <alignment vertical="center"/>
      <protection/>
    </xf>
    <xf numFmtId="0" fontId="97" fillId="0" borderId="0" xfId="0" applyFont="1" applyAlignment="1">
      <alignment vertical="center"/>
    </xf>
    <xf numFmtId="0" fontId="97" fillId="0" borderId="0" xfId="0" applyFont="1" applyAlignment="1">
      <alignment horizontal="left" vertical="center"/>
    </xf>
    <xf numFmtId="0" fontId="28" fillId="0" borderId="0" xfId="0" applyFont="1" applyAlignment="1">
      <alignment vertical="center"/>
    </xf>
    <xf numFmtId="0" fontId="2" fillId="0" borderId="0" xfId="0" applyFont="1" applyAlignment="1" quotePrefix="1">
      <alignment horizontal="left" vertical="center"/>
    </xf>
    <xf numFmtId="0" fontId="114" fillId="0" borderId="0" xfId="0" applyFont="1" applyAlignment="1" quotePrefix="1">
      <alignment/>
    </xf>
    <xf numFmtId="0" fontId="164" fillId="0" borderId="0" xfId="0" applyFont="1" applyAlignment="1">
      <alignment horizontal="center" vertical="top" wrapText="1"/>
    </xf>
    <xf numFmtId="0" fontId="164" fillId="0" borderId="0" xfId="0" applyFont="1" applyAlignment="1">
      <alignment horizontal="center"/>
    </xf>
    <xf numFmtId="0" fontId="137" fillId="0" borderId="0" xfId="0" applyFont="1" applyAlignment="1">
      <alignment horizontal="center"/>
    </xf>
    <xf numFmtId="0" fontId="164" fillId="0" borderId="0" xfId="0" applyFont="1" applyAlignment="1">
      <alignment vertical="top" wrapText="1"/>
    </xf>
    <xf numFmtId="0" fontId="137" fillId="0" borderId="0" xfId="0" applyFont="1" applyAlignment="1">
      <alignment/>
    </xf>
    <xf numFmtId="0" fontId="2" fillId="0" borderId="0" xfId="0" applyFont="1" applyAlignment="1">
      <alignment horizontal="left" vertical="center"/>
    </xf>
    <xf numFmtId="0" fontId="13" fillId="0" borderId="0" xfId="66" applyNumberFormat="1" applyFont="1" applyFill="1" applyAlignment="1" quotePrefix="1">
      <alignment horizontal="center" vertical="center" wrapText="1"/>
      <protection/>
    </xf>
    <xf numFmtId="0" fontId="2" fillId="0" borderId="0" xfId="0" applyFont="1" applyAlignment="1" quotePrefix="1">
      <alignment horizontal="left" vertical="center"/>
    </xf>
    <xf numFmtId="0" fontId="2" fillId="0" borderId="0" xfId="0" applyFont="1" applyAlignment="1">
      <alignment horizontal="left" vertical="center"/>
    </xf>
    <xf numFmtId="0" fontId="13" fillId="0" borderId="0" xfId="66" applyNumberFormat="1" applyFont="1" applyFill="1" applyAlignment="1" quotePrefix="1">
      <alignment horizontal="center" vertical="center" wrapText="1"/>
      <protection/>
    </xf>
    <xf numFmtId="0" fontId="163" fillId="0" borderId="0" xfId="0" applyFont="1" applyAlignment="1" quotePrefix="1">
      <alignment horizontal="center" vertical="center"/>
    </xf>
    <xf numFmtId="0" fontId="18" fillId="0" borderId="12" xfId="0" applyFont="1" applyFill="1" applyBorder="1" applyAlignment="1">
      <alignment vertical="center" wrapText="1"/>
    </xf>
    <xf numFmtId="0" fontId="144" fillId="0" borderId="12" xfId="0" applyFont="1" applyBorder="1" applyAlignment="1">
      <alignment vertical="top" wrapText="1"/>
    </xf>
    <xf numFmtId="0" fontId="162" fillId="0" borderId="0" xfId="0" applyFont="1" applyAlignment="1">
      <alignment/>
    </xf>
    <xf numFmtId="0" fontId="2" fillId="0" borderId="0" xfId="0" applyFont="1" applyAlignment="1" quotePrefix="1">
      <alignment horizontal="center"/>
    </xf>
    <xf numFmtId="0" fontId="27" fillId="0" borderId="0" xfId="0" applyFont="1" applyAlignment="1">
      <alignment horizontal="center" vertical="center"/>
    </xf>
    <xf numFmtId="0" fontId="27" fillId="0" borderId="0" xfId="0" applyFont="1" applyAlignment="1">
      <alignment vertical="center"/>
    </xf>
    <xf numFmtId="0" fontId="2" fillId="0" borderId="0" xfId="0" applyFont="1" applyAlignment="1" quotePrefix="1">
      <alignment/>
    </xf>
    <xf numFmtId="0" fontId="164" fillId="0" borderId="0" xfId="0" applyFont="1" applyAlignment="1">
      <alignment/>
    </xf>
    <xf numFmtId="0" fontId="139" fillId="0" borderId="0" xfId="0" applyFont="1" applyAlignment="1" quotePrefix="1">
      <alignment/>
    </xf>
    <xf numFmtId="0" fontId="28" fillId="0" borderId="0" xfId="0" applyFont="1" applyAlignment="1" quotePrefix="1">
      <alignment horizontal="center"/>
    </xf>
    <xf numFmtId="0" fontId="28" fillId="0" borderId="0" xfId="0" applyFont="1" applyAlignment="1" quotePrefix="1">
      <alignment horizontal="center"/>
    </xf>
    <xf numFmtId="0" fontId="4" fillId="0" borderId="0" xfId="65" applyNumberFormat="1" applyFont="1" applyFill="1" applyBorder="1" applyAlignment="1">
      <alignment horizontal="center" vertical="center" wrapText="1"/>
    </xf>
    <xf numFmtId="0" fontId="4" fillId="0" borderId="0" xfId="65" applyNumberFormat="1" applyFont="1" applyFill="1" applyBorder="1" applyAlignment="1">
      <alignment horizontal="center" vertical="center" wrapText="1"/>
    </xf>
    <xf numFmtId="0" fontId="27" fillId="0" borderId="0" xfId="65" applyNumberFormat="1" applyFont="1" applyFill="1" applyBorder="1" applyAlignment="1">
      <alignment horizontal="center" vertical="center" wrapText="1"/>
    </xf>
    <xf numFmtId="0" fontId="4" fillId="0" borderId="0" xfId="65" applyNumberFormat="1" applyFont="1" applyFill="1" applyBorder="1" applyAlignment="1" quotePrefix="1">
      <alignment horizontal="center" vertical="center" wrapText="1"/>
    </xf>
    <xf numFmtId="0" fontId="4" fillId="0" borderId="0" xfId="65" applyNumberFormat="1" applyFont="1" applyFill="1" applyBorder="1" applyAlignment="1" quotePrefix="1">
      <alignment horizontal="center" vertical="center" wrapText="1"/>
    </xf>
    <xf numFmtId="0" fontId="3" fillId="0" borderId="0" xfId="63" applyFont="1" applyAlignment="1">
      <alignment horizontal="center"/>
      <protection/>
    </xf>
    <xf numFmtId="0" fontId="97" fillId="0" borderId="0" xfId="63" applyFont="1" applyAlignment="1">
      <alignment horizontal="center"/>
      <protection/>
    </xf>
    <xf numFmtId="0" fontId="3" fillId="0" borderId="0" xfId="63" applyFont="1" applyAlignment="1" quotePrefix="1">
      <alignment horizontal="center"/>
      <protection/>
    </xf>
    <xf numFmtId="0" fontId="28" fillId="0" borderId="0" xfId="63" applyFont="1" applyAlignment="1">
      <alignment horizontal="center" vertical="center"/>
      <protection/>
    </xf>
    <xf numFmtId="0" fontId="27" fillId="0" borderId="0" xfId="63" applyFont="1" applyAlignment="1">
      <alignment horizontal="center" vertical="center"/>
      <protection/>
    </xf>
    <xf numFmtId="0" fontId="27" fillId="0" borderId="0" xfId="63" applyFont="1" applyAlignment="1" quotePrefix="1">
      <alignment horizontal="center" vertical="center"/>
      <protection/>
    </xf>
    <xf numFmtId="0" fontId="2" fillId="0" borderId="0" xfId="63" applyFont="1" applyAlignment="1" quotePrefix="1">
      <alignment horizontal="center"/>
      <protection/>
    </xf>
    <xf numFmtId="0" fontId="2" fillId="0" borderId="0" xfId="63" applyFont="1" applyAlignment="1" quotePrefix="1">
      <alignment horizontal="center"/>
      <protection/>
    </xf>
    <xf numFmtId="0" fontId="114" fillId="0" borderId="0" xfId="67" applyFont="1" applyAlignment="1">
      <alignment horizontal="center" vertical="center" wrapText="1"/>
      <protection/>
    </xf>
    <xf numFmtId="0" fontId="114" fillId="0" borderId="0" xfId="67" applyFont="1" applyAlignment="1" quotePrefix="1">
      <alignment horizontal="center" vertical="center" wrapText="1"/>
      <protection/>
    </xf>
    <xf numFmtId="0" fontId="161" fillId="0" borderId="0" xfId="67" applyFont="1" applyAlignment="1">
      <alignment horizontal="center" vertical="center" wrapText="1"/>
      <protection/>
    </xf>
    <xf numFmtId="0" fontId="27" fillId="0" borderId="0" xfId="0" applyFont="1" applyAlignment="1">
      <alignment horizontal="center"/>
    </xf>
    <xf numFmtId="0" fontId="28" fillId="0" borderId="0" xfId="66" applyNumberFormat="1" applyFont="1" applyFill="1" applyAlignment="1">
      <alignment horizontal="center" vertical="center" wrapText="1"/>
      <protection/>
    </xf>
    <xf numFmtId="0" fontId="28" fillId="0" borderId="0" xfId="65" applyFont="1" applyAlignment="1" quotePrefix="1">
      <alignment horizontal="center"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3" xfId="43"/>
    <cellStyle name="Comma 28" xfId="44"/>
    <cellStyle name="Currency" xfId="45"/>
    <cellStyle name="Currency [0]" xfId="46"/>
    <cellStyle name="Check Cell" xfId="47"/>
    <cellStyle name="Explanatory Text" xfId="48"/>
    <cellStyle name="Followed Hyperlink" xfId="49"/>
    <cellStyle name="Good" xfId="50"/>
    <cellStyle name="HAI" xfId="51"/>
    <cellStyle name="Heading 1" xfId="52"/>
    <cellStyle name="Heading 2" xfId="53"/>
    <cellStyle name="Heading 3" xfId="54"/>
    <cellStyle name="Heading 4" xfId="55"/>
    <cellStyle name="Hyperlink" xfId="56"/>
    <cellStyle name="Input" xfId="57"/>
    <cellStyle name="Linked Cell" xfId="58"/>
    <cellStyle name="Neutral" xfId="59"/>
    <cellStyle name="Normal 11 3" xfId="60"/>
    <cellStyle name="Normal 13 2" xfId="61"/>
    <cellStyle name="Normal 16" xfId="62"/>
    <cellStyle name="Normal 2" xfId="63"/>
    <cellStyle name="Normal 3" xfId="64"/>
    <cellStyle name="Normal 3 4" xfId="65"/>
    <cellStyle name="Normal 4" xfId="66"/>
    <cellStyle name="Normal 5" xfId="67"/>
    <cellStyle name="Normal_Bieu mau (CV )" xfId="68"/>
    <cellStyle name="Normal_DU TOAN NGANH TINH THEO MAU TT 59"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dmin\Documents\TONG%20HOP%20XDCB.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min\AppData\Roaming\eOffice\Parse\QUYET%20TOAN%202017%20%20KHO%20BA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dmin\Desktop\BIEU%20SO%2008,10%20N&#258;M%202018%20ng&#224;y%2022032019.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Admin\Desktop\MAU%20BC%20TT%2085%20N&#258;M%202018%20ch&#7881;nh%20ng&#224;y%2020032019.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LETRANG\Desktop\Copy%20of%20MAU%20BC%20N&#258;M%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ieu 1a TH huyen"/>
      <sheetName val="H1115"/>
      <sheetName val="TONG HOP"/>
      <sheetName val="PHAN TICH NGUÒN"/>
    </sheetNames>
    <sheetDataSet>
      <sheetData sheetId="2">
        <row r="54">
          <cell r="L54">
            <v>7424892</v>
          </cell>
        </row>
        <row r="55">
          <cell r="L55">
            <v>7424894</v>
          </cell>
        </row>
        <row r="56">
          <cell r="L56">
            <v>7424896</v>
          </cell>
        </row>
        <row r="61">
          <cell r="L61">
            <v>7427503</v>
          </cell>
        </row>
        <row r="63">
          <cell r="L63">
            <v>7561460</v>
          </cell>
        </row>
        <row r="64">
          <cell r="L64">
            <v>7590549</v>
          </cell>
        </row>
        <row r="68">
          <cell r="L68">
            <v>7564452</v>
          </cell>
        </row>
        <row r="69">
          <cell r="L69">
            <v>7561462</v>
          </cell>
        </row>
        <row r="70">
          <cell r="L70">
            <v>7482252</v>
          </cell>
        </row>
        <row r="71">
          <cell r="L71">
            <v>7565863</v>
          </cell>
        </row>
        <row r="74">
          <cell r="L74">
            <v>7410845</v>
          </cell>
        </row>
        <row r="76">
          <cell r="L76">
            <v>7594215</v>
          </cell>
        </row>
        <row r="79">
          <cell r="L79">
            <v>7434352</v>
          </cell>
        </row>
        <row r="80">
          <cell r="L80">
            <v>7553805</v>
          </cell>
        </row>
        <row r="81">
          <cell r="L81">
            <v>7553805</v>
          </cell>
        </row>
        <row r="82">
          <cell r="L82">
            <v>7553805</v>
          </cell>
        </row>
        <row r="84">
          <cell r="L84">
            <v>7542441</v>
          </cell>
        </row>
        <row r="85">
          <cell r="L85">
            <v>7613377</v>
          </cell>
        </row>
        <row r="88">
          <cell r="L88">
            <v>7424352</v>
          </cell>
        </row>
        <row r="89">
          <cell r="L89">
            <v>7527631</v>
          </cell>
        </row>
        <row r="90">
          <cell r="L90">
            <v>7487376</v>
          </cell>
        </row>
        <row r="92">
          <cell r="L92">
            <v>7563027</v>
          </cell>
        </row>
        <row r="93">
          <cell r="L93">
            <v>7583497</v>
          </cell>
        </row>
        <row r="94">
          <cell r="L94">
            <v>7554153</v>
          </cell>
        </row>
        <row r="96">
          <cell r="L96">
            <v>7567689</v>
          </cell>
        </row>
        <row r="97">
          <cell r="L97">
            <v>7617700</v>
          </cell>
        </row>
        <row r="98">
          <cell r="L98">
            <v>7588370</v>
          </cell>
        </row>
        <row r="101">
          <cell r="L101">
            <v>7498677</v>
          </cell>
        </row>
        <row r="102">
          <cell r="L102">
            <v>7498683</v>
          </cell>
        </row>
        <row r="103">
          <cell r="L103">
            <v>7430212</v>
          </cell>
        </row>
        <row r="104">
          <cell r="L104">
            <v>7427242</v>
          </cell>
        </row>
        <row r="105">
          <cell r="L105">
            <v>7368310</v>
          </cell>
        </row>
        <row r="106">
          <cell r="L106">
            <v>7427247</v>
          </cell>
        </row>
        <row r="107">
          <cell r="L107">
            <v>7565726</v>
          </cell>
        </row>
        <row r="108">
          <cell r="L108">
            <v>7541990</v>
          </cell>
        </row>
        <row r="109">
          <cell r="L109">
            <v>7562657</v>
          </cell>
        </row>
        <row r="110">
          <cell r="L110">
            <v>7562657</v>
          </cell>
        </row>
        <row r="111">
          <cell r="L111">
            <v>7562657</v>
          </cell>
        </row>
        <row r="112">
          <cell r="L112">
            <v>7562657</v>
          </cell>
        </row>
        <row r="113">
          <cell r="L113">
            <v>7450278</v>
          </cell>
        </row>
        <row r="114">
          <cell r="L114">
            <v>7450278</v>
          </cell>
        </row>
        <row r="115">
          <cell r="L115">
            <v>7450278</v>
          </cell>
        </row>
        <row r="116">
          <cell r="L116">
            <v>7498196</v>
          </cell>
        </row>
        <row r="117">
          <cell r="L117">
            <v>7498196</v>
          </cell>
        </row>
        <row r="118">
          <cell r="L118">
            <v>7498196</v>
          </cell>
        </row>
        <row r="119">
          <cell r="L119">
            <v>7563359</v>
          </cell>
        </row>
        <row r="120">
          <cell r="L120">
            <v>7563359</v>
          </cell>
        </row>
        <row r="121">
          <cell r="L121">
            <v>7563359</v>
          </cell>
        </row>
        <row r="122">
          <cell r="L122">
            <v>7477364</v>
          </cell>
        </row>
        <row r="123">
          <cell r="L123">
            <v>7316774</v>
          </cell>
        </row>
        <row r="124">
          <cell r="L124">
            <v>7380622</v>
          </cell>
        </row>
        <row r="125">
          <cell r="L125">
            <v>7511922</v>
          </cell>
        </row>
        <row r="126">
          <cell r="L126">
            <v>7511930</v>
          </cell>
        </row>
        <row r="127">
          <cell r="L127">
            <v>7434547</v>
          </cell>
        </row>
        <row r="128">
          <cell r="L128">
            <v>7410508</v>
          </cell>
        </row>
        <row r="129">
          <cell r="L129">
            <v>7528753</v>
          </cell>
        </row>
        <row r="130">
          <cell r="L130">
            <v>7003689</v>
          </cell>
        </row>
        <row r="131">
          <cell r="L131">
            <v>7464372</v>
          </cell>
        </row>
        <row r="133">
          <cell r="L133">
            <v>7479789</v>
          </cell>
        </row>
        <row r="134">
          <cell r="L134">
            <v>7479789</v>
          </cell>
        </row>
        <row r="135">
          <cell r="L135">
            <v>7479789</v>
          </cell>
        </row>
        <row r="136">
          <cell r="L136">
            <v>7497878</v>
          </cell>
        </row>
        <row r="137">
          <cell r="L137">
            <v>7497878</v>
          </cell>
        </row>
        <row r="140">
          <cell r="L140">
            <v>7497878</v>
          </cell>
        </row>
        <row r="141">
          <cell r="L141">
            <v>7557549</v>
          </cell>
        </row>
        <row r="142">
          <cell r="L142">
            <v>7557544</v>
          </cell>
        </row>
        <row r="143">
          <cell r="L143">
            <v>7565464</v>
          </cell>
        </row>
        <row r="144">
          <cell r="L144">
            <v>7613511</v>
          </cell>
        </row>
        <row r="145">
          <cell r="L145">
            <v>7565471</v>
          </cell>
        </row>
        <row r="146">
          <cell r="L146">
            <v>7613510</v>
          </cell>
        </row>
        <row r="147">
          <cell r="L147">
            <v>7613507</v>
          </cell>
        </row>
        <row r="148">
          <cell r="L148">
            <v>7567685</v>
          </cell>
        </row>
        <row r="149">
          <cell r="L149">
            <v>7498685</v>
          </cell>
        </row>
        <row r="150">
          <cell r="L150">
            <v>7565466</v>
          </cell>
        </row>
        <row r="151">
          <cell r="L151">
            <v>7568824</v>
          </cell>
        </row>
        <row r="152">
          <cell r="L152">
            <v>7568831</v>
          </cell>
        </row>
        <row r="153">
          <cell r="L153">
            <v>7540469</v>
          </cell>
        </row>
        <row r="154">
          <cell r="L154">
            <v>7600800</v>
          </cell>
        </row>
        <row r="155">
          <cell r="L155">
            <v>7600800</v>
          </cell>
        </row>
        <row r="156">
          <cell r="L156">
            <v>7600800</v>
          </cell>
        </row>
        <row r="162">
          <cell r="L162">
            <v>7572362</v>
          </cell>
        </row>
        <row r="165">
          <cell r="L165">
            <v>7591476</v>
          </cell>
        </row>
        <row r="166">
          <cell r="L166">
            <v>7564432</v>
          </cell>
        </row>
        <row r="167">
          <cell r="L167">
            <v>7549256</v>
          </cell>
        </row>
        <row r="168">
          <cell r="L168">
            <v>7577833</v>
          </cell>
        </row>
        <row r="171">
          <cell r="L171">
            <v>7589654</v>
          </cell>
        </row>
        <row r="172">
          <cell r="L172">
            <v>7545080</v>
          </cell>
        </row>
        <row r="175">
          <cell r="L175">
            <v>7649544</v>
          </cell>
        </row>
        <row r="176">
          <cell r="L176">
            <v>7649945</v>
          </cell>
        </row>
        <row r="182">
          <cell r="L182">
            <v>7513267</v>
          </cell>
        </row>
        <row r="183">
          <cell r="L183">
            <v>7513263</v>
          </cell>
        </row>
        <row r="184">
          <cell r="L184">
            <v>7513261</v>
          </cell>
        </row>
        <row r="185">
          <cell r="L185">
            <v>7513256</v>
          </cell>
        </row>
        <row r="186">
          <cell r="L186">
            <v>7564190</v>
          </cell>
        </row>
        <row r="187">
          <cell r="L187">
            <v>7564169</v>
          </cell>
        </row>
        <row r="188">
          <cell r="L188">
            <v>7564177</v>
          </cell>
        </row>
        <row r="189">
          <cell r="L189">
            <v>7564180</v>
          </cell>
        </row>
        <row r="190">
          <cell r="L190">
            <v>7564434</v>
          </cell>
        </row>
        <row r="191">
          <cell r="L191">
            <v>7564433</v>
          </cell>
        </row>
        <row r="193">
          <cell r="L193">
            <v>7003702</v>
          </cell>
        </row>
        <row r="195">
          <cell r="L195">
            <v>7553444</v>
          </cell>
        </row>
        <row r="196">
          <cell r="L196">
            <v>7553437</v>
          </cell>
        </row>
        <row r="197">
          <cell r="L197">
            <v>7566877</v>
          </cell>
        </row>
        <row r="198">
          <cell r="L198">
            <v>7566876</v>
          </cell>
        </row>
        <row r="202">
          <cell r="L202">
            <v>7566894</v>
          </cell>
        </row>
        <row r="203">
          <cell r="L203">
            <v>7566881</v>
          </cell>
        </row>
        <row r="204">
          <cell r="L204">
            <v>7566884</v>
          </cell>
        </row>
        <row r="206">
          <cell r="L206">
            <v>7566890</v>
          </cell>
        </row>
        <row r="207">
          <cell r="L207">
            <v>7566888</v>
          </cell>
        </row>
        <row r="213">
          <cell r="L213">
            <v>7350488</v>
          </cell>
        </row>
        <row r="225">
          <cell r="L225">
            <v>7498015</v>
          </cell>
        </row>
        <row r="226">
          <cell r="L226">
            <v>7402449</v>
          </cell>
        </row>
        <row r="228">
          <cell r="L228">
            <v>7568846</v>
          </cell>
        </row>
        <row r="229">
          <cell r="L229">
            <v>7613509</v>
          </cell>
        </row>
        <row r="230">
          <cell r="L230">
            <v>7580550</v>
          </cell>
        </row>
        <row r="231">
          <cell r="L231">
            <v>7598699</v>
          </cell>
        </row>
        <row r="234">
          <cell r="L234">
            <v>7618070</v>
          </cell>
        </row>
        <row r="242">
          <cell r="L242">
            <v>7259597</v>
          </cell>
        </row>
        <row r="243">
          <cell r="L243">
            <v>7430219</v>
          </cell>
        </row>
        <row r="244">
          <cell r="L244">
            <v>7237845</v>
          </cell>
        </row>
        <row r="245">
          <cell r="L245">
            <v>7427500</v>
          </cell>
        </row>
        <row r="246">
          <cell r="L246">
            <v>7427232</v>
          </cell>
        </row>
        <row r="247">
          <cell r="L247">
            <v>7545073</v>
          </cell>
        </row>
        <row r="248">
          <cell r="L248">
            <v>7429052</v>
          </cell>
        </row>
        <row r="249">
          <cell r="L249">
            <v>7426048</v>
          </cell>
        </row>
        <row r="250">
          <cell r="L250">
            <v>7480797</v>
          </cell>
        </row>
        <row r="251">
          <cell r="L251">
            <v>7421409</v>
          </cell>
        </row>
        <row r="252">
          <cell r="L252">
            <v>7209156</v>
          </cell>
        </row>
        <row r="253">
          <cell r="L253">
            <v>7470719</v>
          </cell>
        </row>
        <row r="254">
          <cell r="L254">
            <v>7256835</v>
          </cell>
        </row>
        <row r="255">
          <cell r="L255">
            <v>7389631</v>
          </cell>
        </row>
        <row r="256">
          <cell r="L256">
            <v>7480323</v>
          </cell>
        </row>
        <row r="257">
          <cell r="L257">
            <v>7285871</v>
          </cell>
        </row>
        <row r="258">
          <cell r="L258">
            <v>7402446</v>
          </cell>
        </row>
        <row r="259">
          <cell r="L259">
            <v>7389624</v>
          </cell>
        </row>
        <row r="260">
          <cell r="L260">
            <v>7003316</v>
          </cell>
        </row>
        <row r="261">
          <cell r="L261">
            <v>7369548</v>
          </cell>
        </row>
        <row r="262">
          <cell r="L262">
            <v>7443458</v>
          </cell>
        </row>
        <row r="263">
          <cell r="L263">
            <v>7444748</v>
          </cell>
        </row>
        <row r="264">
          <cell r="L264">
            <v>7389618</v>
          </cell>
        </row>
        <row r="265">
          <cell r="L265">
            <v>7434554</v>
          </cell>
        </row>
        <row r="266">
          <cell r="L266">
            <v>7396098</v>
          </cell>
        </row>
        <row r="267">
          <cell r="L267">
            <v>7396097</v>
          </cell>
        </row>
        <row r="268">
          <cell r="L268">
            <v>7513253</v>
          </cell>
        </row>
        <row r="269">
          <cell r="L269">
            <v>7144192</v>
          </cell>
        </row>
        <row r="270">
          <cell r="L270">
            <v>7443439</v>
          </cell>
        </row>
        <row r="271">
          <cell r="L271">
            <v>7443450</v>
          </cell>
        </row>
        <row r="272">
          <cell r="L272">
            <v>7443444</v>
          </cell>
        </row>
        <row r="273">
          <cell r="L273">
            <v>7003798</v>
          </cell>
        </row>
        <row r="274">
          <cell r="L274">
            <v>7481907</v>
          </cell>
        </row>
        <row r="275">
          <cell r="L275">
            <v>7443453</v>
          </cell>
        </row>
        <row r="276">
          <cell r="L276">
            <v>7431150</v>
          </cell>
        </row>
        <row r="277">
          <cell r="L277">
            <v>7503677</v>
          </cell>
        </row>
        <row r="278">
          <cell r="L278">
            <v>7511862</v>
          </cell>
        </row>
        <row r="279">
          <cell r="L279">
            <v>7511390</v>
          </cell>
        </row>
        <row r="280">
          <cell r="L280">
            <v>7429045</v>
          </cell>
        </row>
        <row r="281">
          <cell r="L281">
            <v>7268194</v>
          </cell>
        </row>
        <row r="282">
          <cell r="L282">
            <v>7455250</v>
          </cell>
        </row>
        <row r="283">
          <cell r="L283">
            <v>7430229</v>
          </cell>
        </row>
        <row r="284">
          <cell r="L284">
            <v>7421404</v>
          </cell>
        </row>
        <row r="285">
          <cell r="L285">
            <v>7292961</v>
          </cell>
        </row>
        <row r="286">
          <cell r="L286">
            <v>7511858</v>
          </cell>
        </row>
        <row r="287">
          <cell r="L287">
            <v>7318735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KBQT"/>
      <sheetName val="BIeu 02KBQT"/>
      <sheetName val="BIeu 03KBQT"/>
      <sheetName val="BIeu 04KBQT"/>
      <sheetName val="BIeu 05KBQT "/>
    </sheetNames>
    <sheetDataSet>
      <sheetData sheetId="2">
        <row r="11">
          <cell r="B11" t="str">
            <v>TỔNG SỐ (I+II)</v>
          </cell>
          <cell r="E11">
            <v>766559750000</v>
          </cell>
          <cell r="F11">
            <v>296710473000</v>
          </cell>
          <cell r="G11">
            <v>12082789000</v>
          </cell>
          <cell r="H11">
            <v>607584000</v>
          </cell>
          <cell r="I11">
            <v>10912869000</v>
          </cell>
          <cell r="J11">
            <v>0</v>
          </cell>
          <cell r="K11">
            <v>0</v>
          </cell>
          <cell r="L11">
            <v>0</v>
          </cell>
          <cell r="M11">
            <v>0</v>
          </cell>
          <cell r="N11">
            <v>0</v>
          </cell>
          <cell r="O11">
            <v>0</v>
          </cell>
          <cell r="P11">
            <v>156554572000</v>
          </cell>
          <cell r="Q11">
            <v>144316864000</v>
          </cell>
          <cell r="R11">
            <v>122023223000</v>
          </cell>
          <cell r="S11">
            <v>22293641000</v>
          </cell>
          <cell r="T11">
            <v>0</v>
          </cell>
          <cell r="U11">
            <v>12237708000</v>
          </cell>
          <cell r="V11">
            <v>132936092000</v>
          </cell>
          <cell r="W11">
            <v>22855977000</v>
          </cell>
          <cell r="X11">
            <v>441027337000</v>
          </cell>
        </row>
        <row r="12">
          <cell r="A12" t="str">
            <v>I</v>
          </cell>
          <cell r="B12" t="str">
            <v>VỐN ĐẦU TƯ TỪ NSĐP</v>
          </cell>
          <cell r="E12">
            <v>766559750000</v>
          </cell>
          <cell r="F12">
            <v>296710473000</v>
          </cell>
          <cell r="G12">
            <v>12082789000</v>
          </cell>
          <cell r="H12">
            <v>607584000</v>
          </cell>
          <cell r="I12">
            <v>10912869000</v>
          </cell>
          <cell r="J12">
            <v>0</v>
          </cell>
          <cell r="K12">
            <v>0</v>
          </cell>
          <cell r="L12">
            <v>0</v>
          </cell>
          <cell r="M12">
            <v>0</v>
          </cell>
          <cell r="N12">
            <v>0</v>
          </cell>
          <cell r="O12">
            <v>0</v>
          </cell>
          <cell r="P12">
            <v>156554572000</v>
          </cell>
          <cell r="Q12">
            <v>144316864000</v>
          </cell>
          <cell r="R12">
            <v>122023223000</v>
          </cell>
          <cell r="S12">
            <v>22293641000</v>
          </cell>
          <cell r="T12">
            <v>0</v>
          </cell>
          <cell r="U12">
            <v>12237708000</v>
          </cell>
          <cell r="V12">
            <v>132936092000</v>
          </cell>
          <cell r="W12">
            <v>22855977000</v>
          </cell>
          <cell r="X12">
            <v>441027337000</v>
          </cell>
        </row>
        <row r="13">
          <cell r="A13">
            <v>1</v>
          </cell>
          <cell r="B13" t="str">
            <v>Vốn đầu tư trong cân đối NSĐP (bao gồm cả vốn đầu tư từ nguồn thu tiền sử dụng đất, vốn xổ số kiến thiết)</v>
          </cell>
          <cell r="E13">
            <v>766559750000</v>
          </cell>
          <cell r="F13">
            <v>296710473000</v>
          </cell>
          <cell r="G13">
            <v>12082789000</v>
          </cell>
          <cell r="H13">
            <v>607584000</v>
          </cell>
          <cell r="I13">
            <v>10912869000</v>
          </cell>
          <cell r="J13">
            <v>0</v>
          </cell>
          <cell r="K13">
            <v>0</v>
          </cell>
          <cell r="L13">
            <v>0</v>
          </cell>
          <cell r="M13">
            <v>0</v>
          </cell>
          <cell r="N13">
            <v>0</v>
          </cell>
          <cell r="O13">
            <v>0</v>
          </cell>
          <cell r="P13">
            <v>156554572000</v>
          </cell>
          <cell r="Q13">
            <v>144316864000</v>
          </cell>
          <cell r="R13">
            <v>122023223000</v>
          </cell>
          <cell r="S13">
            <v>22293641000</v>
          </cell>
          <cell r="T13">
            <v>0</v>
          </cell>
          <cell r="U13">
            <v>12237708000</v>
          </cell>
          <cell r="V13">
            <v>132936092000</v>
          </cell>
          <cell r="W13">
            <v>22855977000</v>
          </cell>
          <cell r="X13">
            <v>441027337000</v>
          </cell>
        </row>
        <row r="14">
          <cell r="A14" t="str">
            <v>(1)</v>
          </cell>
          <cell r="B14" t="str">
            <v>Cấp tỉnh quản lý</v>
          </cell>
        </row>
        <row r="15">
          <cell r="A15" t="str">
            <v>(2)</v>
          </cell>
          <cell r="B15" t="str">
            <v>Cấp huyện quản lý</v>
          </cell>
          <cell r="E15">
            <v>753529984000</v>
          </cell>
          <cell r="F15">
            <v>294621274000</v>
          </cell>
          <cell r="G15">
            <v>12074300000</v>
          </cell>
          <cell r="H15">
            <v>607584000</v>
          </cell>
          <cell r="I15">
            <v>10904380000</v>
          </cell>
          <cell r="J15">
            <v>0</v>
          </cell>
          <cell r="K15">
            <v>0</v>
          </cell>
          <cell r="L15">
            <v>0</v>
          </cell>
          <cell r="M15">
            <v>0</v>
          </cell>
          <cell r="N15">
            <v>0</v>
          </cell>
          <cell r="O15">
            <v>0</v>
          </cell>
          <cell r="P15">
            <v>147470000000</v>
          </cell>
          <cell r="Q15">
            <v>136778839000</v>
          </cell>
          <cell r="R15">
            <v>114526311000</v>
          </cell>
          <cell r="S15">
            <v>22252528000</v>
          </cell>
          <cell r="T15">
            <v>0</v>
          </cell>
          <cell r="U15">
            <v>10691161000</v>
          </cell>
          <cell r="V15">
            <v>125430691000</v>
          </cell>
          <cell r="W15">
            <v>22814864000</v>
          </cell>
          <cell r="X15">
            <v>431400113000</v>
          </cell>
        </row>
        <row r="16">
          <cell r="A16" t="str">
            <v>(3)</v>
          </cell>
          <cell r="B16" t="str">
            <v>Cấp xã quản lý</v>
          </cell>
          <cell r="E16">
            <v>13029766000</v>
          </cell>
          <cell r="F16">
            <v>2089199000</v>
          </cell>
          <cell r="G16">
            <v>8489000</v>
          </cell>
          <cell r="H16">
            <v>0</v>
          </cell>
          <cell r="I16">
            <v>8489000</v>
          </cell>
          <cell r="J16">
            <v>0</v>
          </cell>
          <cell r="K16">
            <v>0</v>
          </cell>
          <cell r="L16">
            <v>0</v>
          </cell>
          <cell r="M16">
            <v>0</v>
          </cell>
          <cell r="N16">
            <v>0</v>
          </cell>
          <cell r="O16">
            <v>0</v>
          </cell>
          <cell r="P16">
            <v>9084572000</v>
          </cell>
          <cell r="Q16">
            <v>7538025000</v>
          </cell>
          <cell r="R16">
            <v>7496912000</v>
          </cell>
          <cell r="S16">
            <v>41113000</v>
          </cell>
          <cell r="T16">
            <v>0</v>
          </cell>
          <cell r="U16">
            <v>1546547000</v>
          </cell>
          <cell r="V16">
            <v>7505401000</v>
          </cell>
          <cell r="W16">
            <v>41113000</v>
          </cell>
          <cell r="X16">
            <v>9627224000</v>
          </cell>
        </row>
        <row r="17">
          <cell r="A17">
            <v>2</v>
          </cell>
          <cell r="B17" t="str">
            <v>Vốn trái phiếu chính quyền địa phương</v>
          </cell>
        </row>
        <row r="18">
          <cell r="A18" t="str">
            <v>II</v>
          </cell>
          <cell r="B18" t="str">
            <v>NGUỒN VỐN NSTW</v>
          </cell>
        </row>
        <row r="19">
          <cell r="B19" t="str">
            <v>TỈNH ĐỒNG THÁP</v>
          </cell>
          <cell r="E19">
            <v>766559750000</v>
          </cell>
          <cell r="F19">
            <v>296710473000</v>
          </cell>
          <cell r="G19">
            <v>12082789000</v>
          </cell>
          <cell r="H19">
            <v>607584000</v>
          </cell>
          <cell r="I19">
            <v>10912869000</v>
          </cell>
          <cell r="J19">
            <v>0</v>
          </cell>
          <cell r="K19">
            <v>0</v>
          </cell>
          <cell r="L19">
            <v>0</v>
          </cell>
          <cell r="M19">
            <v>0</v>
          </cell>
          <cell r="N19">
            <v>0</v>
          </cell>
          <cell r="O19">
            <v>0</v>
          </cell>
          <cell r="P19">
            <v>156554572000</v>
          </cell>
          <cell r="Q19">
            <v>144316864000</v>
          </cell>
          <cell r="R19">
            <v>122023223000</v>
          </cell>
          <cell r="S19">
            <v>22293641000</v>
          </cell>
          <cell r="T19">
            <v>0</v>
          </cell>
          <cell r="U19">
            <v>12237708000</v>
          </cell>
          <cell r="V19">
            <v>132936092000</v>
          </cell>
          <cell r="W19">
            <v>22855977000</v>
          </cell>
          <cell r="X19">
            <v>441027337000</v>
          </cell>
        </row>
        <row r="20">
          <cell r="A20" t="str">
            <v>A</v>
          </cell>
          <cell r="B20" t="str">
            <v>Các dự án thuộc kế hoạch năm 2017</v>
          </cell>
          <cell r="E20">
            <v>631212925000</v>
          </cell>
          <cell r="F20">
            <v>202267228000</v>
          </cell>
          <cell r="G20">
            <v>10644759000</v>
          </cell>
          <cell r="H20">
            <v>338471000</v>
          </cell>
          <cell r="I20">
            <v>9744923000</v>
          </cell>
          <cell r="J20">
            <v>0</v>
          </cell>
          <cell r="K20">
            <v>0</v>
          </cell>
          <cell r="L20">
            <v>0</v>
          </cell>
          <cell r="M20">
            <v>0</v>
          </cell>
          <cell r="N20">
            <v>0</v>
          </cell>
          <cell r="O20">
            <v>0</v>
          </cell>
          <cell r="P20">
            <v>156554572000</v>
          </cell>
          <cell r="Q20">
            <v>144316864000</v>
          </cell>
          <cell r="R20">
            <v>122023223000</v>
          </cell>
          <cell r="S20">
            <v>22293641000</v>
          </cell>
          <cell r="T20">
            <v>0</v>
          </cell>
          <cell r="U20">
            <v>12237708000</v>
          </cell>
          <cell r="V20">
            <v>131768146000</v>
          </cell>
          <cell r="W20">
            <v>22855006000</v>
          </cell>
          <cell r="X20">
            <v>346584092000</v>
          </cell>
        </row>
        <row r="21">
          <cell r="A21" t="str">
            <v>I</v>
          </cell>
          <cell r="B21" t="str">
            <v>VỐN ĐẦU TƯ TỪ NSĐP</v>
          </cell>
          <cell r="E21">
            <v>631212925000</v>
          </cell>
          <cell r="F21">
            <v>202267228000</v>
          </cell>
          <cell r="G21">
            <v>10644759000</v>
          </cell>
          <cell r="H21">
            <v>338471000</v>
          </cell>
          <cell r="I21">
            <v>9744923000</v>
          </cell>
          <cell r="J21">
            <v>0</v>
          </cell>
          <cell r="K21">
            <v>0</v>
          </cell>
          <cell r="L21">
            <v>0</v>
          </cell>
          <cell r="M21">
            <v>0</v>
          </cell>
          <cell r="N21">
            <v>0</v>
          </cell>
          <cell r="O21">
            <v>0</v>
          </cell>
          <cell r="P21">
            <v>156554572000</v>
          </cell>
          <cell r="Q21">
            <v>144316864000</v>
          </cell>
          <cell r="R21">
            <v>122023223000</v>
          </cell>
          <cell r="S21">
            <v>22293641000</v>
          </cell>
          <cell r="T21">
            <v>0</v>
          </cell>
          <cell r="U21">
            <v>12237708000</v>
          </cell>
          <cell r="V21">
            <v>131768146000</v>
          </cell>
          <cell r="W21">
            <v>22855006000</v>
          </cell>
          <cell r="X21">
            <v>346584092000</v>
          </cell>
        </row>
        <row r="22">
          <cell r="A22">
            <v>1</v>
          </cell>
          <cell r="B22" t="str">
            <v>Vốn đầu tư trong cân đối NSĐP (bao gồm cả vốn đầu tư từ nguồn thu tiền sử dụng đất, vốn xổ số kiến thiết)</v>
          </cell>
          <cell r="E22">
            <v>631212925000</v>
          </cell>
          <cell r="F22">
            <v>202267228000</v>
          </cell>
          <cell r="G22">
            <v>10644759000</v>
          </cell>
          <cell r="H22">
            <v>338471000</v>
          </cell>
          <cell r="I22">
            <v>9744923000</v>
          </cell>
          <cell r="J22">
            <v>0</v>
          </cell>
          <cell r="K22">
            <v>0</v>
          </cell>
          <cell r="L22">
            <v>0</v>
          </cell>
          <cell r="M22">
            <v>0</v>
          </cell>
          <cell r="N22">
            <v>0</v>
          </cell>
          <cell r="O22">
            <v>0</v>
          </cell>
          <cell r="P22">
            <v>156554572000</v>
          </cell>
          <cell r="Q22">
            <v>144316864000</v>
          </cell>
          <cell r="R22">
            <v>122023223000</v>
          </cell>
          <cell r="S22">
            <v>22293641000</v>
          </cell>
          <cell r="T22">
            <v>0</v>
          </cell>
          <cell r="U22">
            <v>12237708000</v>
          </cell>
          <cell r="V22">
            <v>131768146000</v>
          </cell>
          <cell r="W22">
            <v>22855006000</v>
          </cell>
          <cell r="X22">
            <v>346584092000</v>
          </cell>
        </row>
        <row r="23">
          <cell r="A23" t="str">
            <v>(1)</v>
          </cell>
          <cell r="B23" t="str">
            <v>Cấp tỉnh quản lý</v>
          </cell>
        </row>
        <row r="24">
          <cell r="A24" t="str">
            <v>(2)</v>
          </cell>
          <cell r="B24" t="str">
            <v>Cấp huyện quản lý</v>
          </cell>
          <cell r="E24">
            <v>620640882000</v>
          </cell>
          <cell r="F24">
            <v>202267228000</v>
          </cell>
          <cell r="G24">
            <v>10644759000</v>
          </cell>
          <cell r="H24">
            <v>338471000</v>
          </cell>
          <cell r="I24">
            <v>9744923000</v>
          </cell>
          <cell r="J24">
            <v>0</v>
          </cell>
          <cell r="K24">
            <v>0</v>
          </cell>
          <cell r="L24">
            <v>0</v>
          </cell>
          <cell r="M24">
            <v>0</v>
          </cell>
          <cell r="N24">
            <v>0</v>
          </cell>
          <cell r="O24">
            <v>0</v>
          </cell>
          <cell r="P24">
            <v>147470000000</v>
          </cell>
          <cell r="Q24">
            <v>136778839000</v>
          </cell>
          <cell r="R24">
            <v>114526311000</v>
          </cell>
          <cell r="S24">
            <v>22252528000</v>
          </cell>
          <cell r="T24">
            <v>0</v>
          </cell>
          <cell r="U24">
            <v>10691161000</v>
          </cell>
          <cell r="V24">
            <v>124271234000</v>
          </cell>
          <cell r="W24">
            <v>22813893000</v>
          </cell>
          <cell r="X24">
            <v>339046067000</v>
          </cell>
        </row>
        <row r="25">
          <cell r="B25" t="str">
            <v>* Nguồn vốn XDCB tap trung</v>
          </cell>
          <cell r="E25">
            <v>338390823000</v>
          </cell>
          <cell r="F25">
            <v>96295660000</v>
          </cell>
          <cell r="G25">
            <v>4363420000</v>
          </cell>
          <cell r="H25">
            <v>333557000</v>
          </cell>
          <cell r="I25">
            <v>4029863000</v>
          </cell>
          <cell r="J25">
            <v>0</v>
          </cell>
          <cell r="K25">
            <v>0</v>
          </cell>
          <cell r="L25">
            <v>0</v>
          </cell>
          <cell r="M25">
            <v>0</v>
          </cell>
          <cell r="N25">
            <v>0</v>
          </cell>
          <cell r="O25">
            <v>0</v>
          </cell>
          <cell r="P25">
            <v>77257000000</v>
          </cell>
          <cell r="Q25">
            <v>72267786000</v>
          </cell>
          <cell r="R25">
            <v>58035987000</v>
          </cell>
          <cell r="S25">
            <v>14231799000</v>
          </cell>
          <cell r="T25">
            <v>0</v>
          </cell>
          <cell r="U25">
            <v>4989214000</v>
          </cell>
          <cell r="V25">
            <v>62065850000</v>
          </cell>
          <cell r="W25">
            <v>14231799000</v>
          </cell>
          <cell r="X25">
            <v>168563446000</v>
          </cell>
        </row>
        <row r="26">
          <cell r="B26" t="str">
            <v>Vốn chuẩn bị đầu tư</v>
          </cell>
          <cell r="E26">
            <v>33282318000</v>
          </cell>
          <cell r="F26">
            <v>151064000</v>
          </cell>
          <cell r="G26">
            <v>0</v>
          </cell>
          <cell r="H26">
            <v>0</v>
          </cell>
          <cell r="I26">
            <v>0</v>
          </cell>
          <cell r="J26">
            <v>0</v>
          </cell>
          <cell r="K26">
            <v>0</v>
          </cell>
          <cell r="L26">
            <v>0</v>
          </cell>
          <cell r="M26">
            <v>0</v>
          </cell>
          <cell r="N26">
            <v>0</v>
          </cell>
          <cell r="O26">
            <v>0</v>
          </cell>
          <cell r="P26">
            <v>1348000000</v>
          </cell>
          <cell r="Q26">
            <v>1228799000</v>
          </cell>
          <cell r="R26">
            <v>1228799000</v>
          </cell>
          <cell r="S26">
            <v>0</v>
          </cell>
          <cell r="T26">
            <v>0</v>
          </cell>
          <cell r="U26">
            <v>119201000</v>
          </cell>
          <cell r="V26">
            <v>1228799000</v>
          </cell>
          <cell r="W26">
            <v>0</v>
          </cell>
          <cell r="X26">
            <v>1379863000</v>
          </cell>
        </row>
        <row r="27">
          <cell r="B27" t="str">
            <v>Đường rạch Trâm Bầu</v>
          </cell>
          <cell r="C27" t="str">
            <v>KBNN SĐ</v>
          </cell>
          <cell r="D27">
            <v>7613511</v>
          </cell>
          <cell r="E27">
            <v>3934787000</v>
          </cell>
          <cell r="P27">
            <v>420000000</v>
          </cell>
          <cell r="Q27">
            <v>390357000</v>
          </cell>
          <cell r="R27">
            <v>390357000</v>
          </cell>
          <cell r="S27">
            <v>0</v>
          </cell>
          <cell r="U27">
            <v>29643000</v>
          </cell>
          <cell r="V27">
            <v>390357000</v>
          </cell>
          <cell r="W27">
            <v>0</v>
          </cell>
          <cell r="X27">
            <v>390357000</v>
          </cell>
        </row>
        <row r="28">
          <cell r="B28" t="str">
            <v>Mở rộng đường rạch Chùa bờ phải ( ĐT 848- Trường tiểu học Tân An)</v>
          </cell>
          <cell r="C28" t="str">
            <v>KBNN SĐ</v>
          </cell>
          <cell r="D28">
            <v>7613507</v>
          </cell>
          <cell r="E28">
            <v>1910189000</v>
          </cell>
          <cell r="P28">
            <v>23000000</v>
          </cell>
          <cell r="Q28">
            <v>22497000</v>
          </cell>
          <cell r="R28">
            <v>22497000</v>
          </cell>
          <cell r="S28">
            <v>0</v>
          </cell>
          <cell r="U28">
            <v>503000</v>
          </cell>
          <cell r="V28">
            <v>22497000</v>
          </cell>
          <cell r="W28">
            <v>0</v>
          </cell>
          <cell r="X28">
            <v>22497000</v>
          </cell>
        </row>
        <row r="29">
          <cell r="B29" t="str">
            <v>Mở rộng đường rạch Chùa bờ trái ( ĐT 848- Trường MG Tân An )</v>
          </cell>
          <cell r="C29" t="str">
            <v>KBNN SĐ</v>
          </cell>
          <cell r="D29">
            <v>7613510</v>
          </cell>
          <cell r="E29">
            <v>1983046000</v>
          </cell>
          <cell r="P29">
            <v>720000000</v>
          </cell>
          <cell r="Q29">
            <v>633789000</v>
          </cell>
          <cell r="R29">
            <v>633789000</v>
          </cell>
          <cell r="S29">
            <v>0</v>
          </cell>
          <cell r="U29">
            <v>86211000</v>
          </cell>
          <cell r="V29">
            <v>633789000</v>
          </cell>
          <cell r="W29">
            <v>0</v>
          </cell>
          <cell r="X29">
            <v>633789000</v>
          </cell>
        </row>
        <row r="30">
          <cell r="B30" t="str">
            <v>Đường Phạm Hữu Lầu (nối dài)</v>
          </cell>
          <cell r="C30" t="str">
            <v>KBNN SĐ</v>
          </cell>
          <cell r="D30">
            <v>7450278</v>
          </cell>
          <cell r="E30">
            <v>25454296000</v>
          </cell>
          <cell r="F30">
            <v>151064000</v>
          </cell>
          <cell r="P30">
            <v>185000000</v>
          </cell>
          <cell r="Q30">
            <v>182156000</v>
          </cell>
          <cell r="R30">
            <v>182156000</v>
          </cell>
          <cell r="S30">
            <v>0</v>
          </cell>
          <cell r="U30">
            <v>2844000</v>
          </cell>
          <cell r="V30">
            <v>182156000</v>
          </cell>
          <cell r="W30">
            <v>0</v>
          </cell>
          <cell r="X30">
            <v>333220000</v>
          </cell>
        </row>
        <row r="31">
          <cell r="B31" t="str">
            <v>Vốn thực hiện dự án</v>
          </cell>
          <cell r="E31">
            <v>305108505000</v>
          </cell>
          <cell r="F31">
            <v>96144596000</v>
          </cell>
          <cell r="G31">
            <v>4363420000</v>
          </cell>
          <cell r="H31">
            <v>333557000</v>
          </cell>
          <cell r="I31">
            <v>4029863000</v>
          </cell>
          <cell r="J31">
            <v>0</v>
          </cell>
          <cell r="K31">
            <v>0</v>
          </cell>
          <cell r="L31">
            <v>0</v>
          </cell>
          <cell r="M31">
            <v>0</v>
          </cell>
          <cell r="N31">
            <v>0</v>
          </cell>
          <cell r="O31">
            <v>0</v>
          </cell>
          <cell r="P31">
            <v>75909000000</v>
          </cell>
          <cell r="Q31">
            <v>71038987000</v>
          </cell>
          <cell r="R31">
            <v>56807188000</v>
          </cell>
          <cell r="S31">
            <v>14231799000</v>
          </cell>
          <cell r="T31">
            <v>0</v>
          </cell>
          <cell r="U31">
            <v>4870013000</v>
          </cell>
          <cell r="V31">
            <v>60837051000</v>
          </cell>
          <cell r="W31">
            <v>14231799000</v>
          </cell>
          <cell r="X31">
            <v>167183583000</v>
          </cell>
        </row>
        <row r="32">
          <cell r="B32" t="str">
            <v>Trường Tiểu học Hòa Khánh</v>
          </cell>
          <cell r="C32" t="str">
            <v>KBNN SĐ</v>
          </cell>
          <cell r="D32">
            <v>7561460</v>
          </cell>
          <cell r="E32">
            <v>10135035000</v>
          </cell>
          <cell r="P32">
            <v>3000000000</v>
          </cell>
          <cell r="Q32">
            <v>3000000000</v>
          </cell>
          <cell r="R32">
            <v>1653445000</v>
          </cell>
          <cell r="S32">
            <v>1346555000</v>
          </cell>
          <cell r="U32">
            <v>0</v>
          </cell>
          <cell r="V32">
            <v>1653445000</v>
          </cell>
          <cell r="W32">
            <v>1346555000</v>
          </cell>
          <cell r="X32">
            <v>3000000000</v>
          </cell>
        </row>
        <row r="33">
          <cell r="B33" t="str">
            <v>Trường Mầm non Hoa Mai</v>
          </cell>
          <cell r="C33" t="str">
            <v>KBNN SĐ</v>
          </cell>
          <cell r="D33">
            <v>7590549</v>
          </cell>
          <cell r="E33">
            <v>4147063000</v>
          </cell>
          <cell r="P33">
            <v>2000000000</v>
          </cell>
          <cell r="Q33">
            <v>1140584000</v>
          </cell>
          <cell r="R33">
            <v>164512000</v>
          </cell>
          <cell r="S33">
            <v>976072000</v>
          </cell>
          <cell r="U33">
            <v>859416000</v>
          </cell>
          <cell r="V33">
            <v>164512000</v>
          </cell>
          <cell r="W33">
            <v>976072000</v>
          </cell>
          <cell r="X33">
            <v>1140584000</v>
          </cell>
        </row>
        <row r="34">
          <cell r="B34" t="str">
            <v>Đường Đình (ĐT 848- CDC Tân Khánh Đông)</v>
          </cell>
          <cell r="C34" t="str">
            <v>KBNN SĐ</v>
          </cell>
          <cell r="D34">
            <v>7368310</v>
          </cell>
          <cell r="E34">
            <v>4662867000</v>
          </cell>
          <cell r="F34">
            <v>2586318000</v>
          </cell>
          <cell r="G34">
            <v>13700000</v>
          </cell>
          <cell r="I34">
            <v>13700000</v>
          </cell>
          <cell r="P34">
            <v>19901000</v>
          </cell>
          <cell r="Q34">
            <v>19901000</v>
          </cell>
          <cell r="R34">
            <v>19901000</v>
          </cell>
          <cell r="S34">
            <v>0</v>
          </cell>
          <cell r="U34">
            <v>0</v>
          </cell>
          <cell r="V34">
            <v>33601000</v>
          </cell>
          <cell r="W34">
            <v>0</v>
          </cell>
          <cell r="X34">
            <v>2606219000</v>
          </cell>
        </row>
        <row r="35">
          <cell r="B35" t="str">
            <v>Đường Xẻo Gừa bờ trái</v>
          </cell>
          <cell r="C35" t="str">
            <v>KBNN SĐ</v>
          </cell>
          <cell r="D35">
            <v>7389618</v>
          </cell>
          <cell r="E35">
            <v>5878822000</v>
          </cell>
          <cell r="F35">
            <v>3113808000</v>
          </cell>
          <cell r="G35">
            <v>10017000</v>
          </cell>
          <cell r="I35">
            <v>10017000</v>
          </cell>
          <cell r="P35">
            <v>20483000</v>
          </cell>
          <cell r="Q35">
            <v>20483000</v>
          </cell>
          <cell r="R35">
            <v>20483000</v>
          </cell>
          <cell r="S35">
            <v>0</v>
          </cell>
          <cell r="U35">
            <v>0</v>
          </cell>
          <cell r="V35">
            <v>30500000</v>
          </cell>
          <cell r="W35">
            <v>0</v>
          </cell>
          <cell r="X35">
            <v>3134291000</v>
          </cell>
        </row>
        <row r="36">
          <cell r="B36" t="str">
            <v> Trụ sở UBND TP Sa Đéc </v>
          </cell>
          <cell r="C36" t="str">
            <v>KBNN SĐ</v>
          </cell>
          <cell r="D36">
            <v>7402449</v>
          </cell>
          <cell r="E36">
            <v>11402997000</v>
          </cell>
          <cell r="F36">
            <v>4891225000</v>
          </cell>
          <cell r="G36">
            <v>336262000</v>
          </cell>
          <cell r="I36">
            <v>336262000</v>
          </cell>
          <cell r="P36">
            <v>5500000000</v>
          </cell>
          <cell r="Q36">
            <v>5118617000</v>
          </cell>
          <cell r="R36">
            <v>5086813000</v>
          </cell>
          <cell r="S36">
            <v>31804000</v>
          </cell>
          <cell r="U36">
            <v>381383000</v>
          </cell>
          <cell r="V36">
            <v>5423075000</v>
          </cell>
          <cell r="W36">
            <v>31804000</v>
          </cell>
          <cell r="X36">
            <v>10009842000</v>
          </cell>
        </row>
        <row r="37">
          <cell r="B37" t="str">
            <v> Chợ cá Sa Đéc (vốn dân 50%, nhà nước 50%)</v>
          </cell>
          <cell r="C37" t="str">
            <v>KBNN SĐ</v>
          </cell>
          <cell r="D37">
            <v>7424352</v>
          </cell>
          <cell r="E37">
            <v>2920592000</v>
          </cell>
          <cell r="F37">
            <v>1158486000</v>
          </cell>
          <cell r="G37">
            <v>15000000</v>
          </cell>
          <cell r="I37">
            <v>15000000</v>
          </cell>
          <cell r="P37">
            <v>100000000</v>
          </cell>
          <cell r="Q37">
            <v>100000000</v>
          </cell>
          <cell r="R37">
            <v>100000000</v>
          </cell>
          <cell r="S37">
            <v>0</v>
          </cell>
          <cell r="U37">
            <v>0</v>
          </cell>
          <cell r="V37">
            <v>115000000</v>
          </cell>
          <cell r="W37">
            <v>0</v>
          </cell>
          <cell r="X37">
            <v>1258486000</v>
          </cell>
        </row>
        <row r="38">
          <cell r="B38" t="str">
            <v>Bờ bao kết hợp đường Cồn Sậy đoạn 3</v>
          </cell>
          <cell r="C38" t="str">
            <v>KBNN SĐ</v>
          </cell>
          <cell r="D38">
            <v>7430219</v>
          </cell>
          <cell r="E38">
            <v>3031157000</v>
          </cell>
          <cell r="F38">
            <v>2492564000</v>
          </cell>
          <cell r="P38">
            <v>14766000</v>
          </cell>
          <cell r="Q38">
            <v>14766000</v>
          </cell>
          <cell r="R38">
            <v>14766000</v>
          </cell>
          <cell r="S38">
            <v>0</v>
          </cell>
          <cell r="U38">
            <v>0</v>
          </cell>
          <cell r="V38">
            <v>14766000</v>
          </cell>
          <cell r="W38">
            <v>0</v>
          </cell>
          <cell r="X38">
            <v>2507330000</v>
          </cell>
        </row>
        <row r="39">
          <cell r="B39" t="str">
            <v>TT văn hóa học tập cộng đồng</v>
          </cell>
          <cell r="C39" t="str">
            <v>KBNN SĐ</v>
          </cell>
          <cell r="D39">
            <v>7430229</v>
          </cell>
          <cell r="E39">
            <v>6700605000</v>
          </cell>
          <cell r="F39">
            <v>4903200000</v>
          </cell>
          <cell r="P39">
            <v>98951000</v>
          </cell>
          <cell r="Q39">
            <v>98951000</v>
          </cell>
          <cell r="R39">
            <v>98951000</v>
          </cell>
          <cell r="S39">
            <v>0</v>
          </cell>
          <cell r="U39">
            <v>0</v>
          </cell>
          <cell r="V39">
            <v>98951000</v>
          </cell>
          <cell r="W39">
            <v>0</v>
          </cell>
          <cell r="X39">
            <v>5002151000</v>
          </cell>
        </row>
        <row r="40">
          <cell r="B40" t="str">
            <v>Xây dựng cảnh quan kè sông Tiền P3, P4</v>
          </cell>
          <cell r="C40" t="str">
            <v>KBNN SĐ</v>
          </cell>
          <cell r="D40">
            <v>7434547</v>
          </cell>
          <cell r="E40">
            <v>13731943000</v>
          </cell>
          <cell r="F40">
            <v>11252107000</v>
          </cell>
          <cell r="G40">
            <v>34053000</v>
          </cell>
          <cell r="I40">
            <v>34053000</v>
          </cell>
          <cell r="P40">
            <v>49850000</v>
          </cell>
          <cell r="Q40">
            <v>49850000</v>
          </cell>
          <cell r="R40">
            <v>49850000</v>
          </cell>
          <cell r="S40">
            <v>0</v>
          </cell>
          <cell r="U40">
            <v>0</v>
          </cell>
          <cell r="V40">
            <v>83903000</v>
          </cell>
          <cell r="W40">
            <v>0</v>
          </cell>
          <cell r="X40">
            <v>11301957000</v>
          </cell>
        </row>
        <row r="41">
          <cell r="B41" t="str">
            <v>Mở rộng nghĩa trang nhân dân TX S Đéc</v>
          </cell>
          <cell r="C41" t="str">
            <v>KBNN SĐ</v>
          </cell>
          <cell r="D41">
            <v>7434554</v>
          </cell>
          <cell r="E41">
            <v>2595210000</v>
          </cell>
          <cell r="F41">
            <v>2273545000</v>
          </cell>
          <cell r="G41">
            <v>9752000</v>
          </cell>
          <cell r="I41">
            <v>9752000</v>
          </cell>
          <cell r="P41">
            <v>14810000</v>
          </cell>
          <cell r="Q41">
            <v>14810000</v>
          </cell>
          <cell r="R41">
            <v>14810000</v>
          </cell>
          <cell r="S41">
            <v>0</v>
          </cell>
          <cell r="U41">
            <v>0</v>
          </cell>
          <cell r="V41">
            <v>24562000</v>
          </cell>
          <cell r="W41">
            <v>0</v>
          </cell>
          <cell r="X41">
            <v>2288355000</v>
          </cell>
        </row>
        <row r="42">
          <cell r="B42" t="str">
            <v>HT điện hạ thế P. Tân Quy Đông</v>
          </cell>
          <cell r="C42" t="str">
            <v>KBNN SĐ</v>
          </cell>
          <cell r="D42">
            <v>7443439</v>
          </cell>
          <cell r="E42">
            <v>662070000</v>
          </cell>
          <cell r="F42">
            <v>431748000</v>
          </cell>
          <cell r="G42">
            <v>2371000</v>
          </cell>
          <cell r="I42">
            <v>2371000</v>
          </cell>
          <cell r="P42">
            <v>3159000</v>
          </cell>
          <cell r="Q42">
            <v>3159000</v>
          </cell>
          <cell r="R42">
            <v>3159000</v>
          </cell>
          <cell r="S42">
            <v>0</v>
          </cell>
          <cell r="U42">
            <v>0</v>
          </cell>
          <cell r="V42">
            <v>5530000</v>
          </cell>
          <cell r="W42">
            <v>0</v>
          </cell>
          <cell r="X42">
            <v>434907000</v>
          </cell>
        </row>
        <row r="43">
          <cell r="B43" t="str">
            <v>HT điện hạ thế xã  Tân Phú Đông</v>
          </cell>
          <cell r="C43" t="str">
            <v>KBNN SĐ</v>
          </cell>
          <cell r="D43">
            <v>7443444</v>
          </cell>
          <cell r="E43">
            <v>1352173000</v>
          </cell>
          <cell r="F43">
            <v>912141000</v>
          </cell>
          <cell r="G43">
            <v>4842000</v>
          </cell>
          <cell r="I43">
            <v>4842000</v>
          </cell>
          <cell r="P43">
            <v>7267000</v>
          </cell>
          <cell r="Q43">
            <v>7267000</v>
          </cell>
          <cell r="R43">
            <v>7267000</v>
          </cell>
          <cell r="S43">
            <v>0</v>
          </cell>
          <cell r="U43">
            <v>0</v>
          </cell>
          <cell r="V43">
            <v>12109000</v>
          </cell>
          <cell r="W43">
            <v>0</v>
          </cell>
          <cell r="X43">
            <v>919408000</v>
          </cell>
        </row>
        <row r="44">
          <cell r="B44" t="str">
            <v>HT điện hạ thế xã  Tân khánh Đông</v>
          </cell>
          <cell r="C44" t="str">
            <v>KBNN SĐ</v>
          </cell>
          <cell r="D44">
            <v>7443450</v>
          </cell>
          <cell r="E44">
            <v>1763455000</v>
          </cell>
          <cell r="F44">
            <v>1156974000</v>
          </cell>
          <cell r="G44">
            <v>6315000</v>
          </cell>
          <cell r="I44">
            <v>6315000</v>
          </cell>
          <cell r="P44">
            <v>9478000</v>
          </cell>
          <cell r="Q44">
            <v>9478000</v>
          </cell>
          <cell r="R44">
            <v>9478000</v>
          </cell>
          <cell r="S44">
            <v>0</v>
          </cell>
          <cell r="U44">
            <v>0</v>
          </cell>
          <cell r="V44">
            <v>15793000</v>
          </cell>
          <cell r="W44">
            <v>0</v>
          </cell>
          <cell r="X44">
            <v>1166452000</v>
          </cell>
        </row>
        <row r="45">
          <cell r="B45" t="str">
            <v>Lưới điện hạ thế Cai Dao-Năm Phương</v>
          </cell>
          <cell r="C45" t="str">
            <v>KBNN SĐ</v>
          </cell>
          <cell r="D45">
            <v>7443453</v>
          </cell>
          <cell r="E45">
            <v>470678000</v>
          </cell>
          <cell r="F45">
            <v>332912000</v>
          </cell>
          <cell r="G45">
            <v>1576000</v>
          </cell>
          <cell r="I45">
            <v>1576000</v>
          </cell>
          <cell r="P45">
            <v>2449000</v>
          </cell>
          <cell r="Q45">
            <v>2449000</v>
          </cell>
          <cell r="R45">
            <v>2449000</v>
          </cell>
          <cell r="S45">
            <v>0</v>
          </cell>
          <cell r="U45">
            <v>0</v>
          </cell>
          <cell r="V45">
            <v>4025000</v>
          </cell>
          <cell r="W45">
            <v>0</v>
          </cell>
          <cell r="X45">
            <v>335361000</v>
          </cell>
        </row>
        <row r="46">
          <cell r="B46" t="str">
            <v>Đường Nguyễn Sinh Sắc (Hùng Vương- nút ĐT 848)</v>
          </cell>
          <cell r="C46" t="str">
            <v>KBNN SĐ</v>
          </cell>
          <cell r="D46">
            <v>7480323</v>
          </cell>
          <cell r="E46">
            <v>10874514000</v>
          </cell>
          <cell r="F46">
            <v>8773391000</v>
          </cell>
          <cell r="G46">
            <v>26816000</v>
          </cell>
          <cell r="I46">
            <v>26816000</v>
          </cell>
          <cell r="P46">
            <v>40080000</v>
          </cell>
          <cell r="Q46">
            <v>40080000</v>
          </cell>
          <cell r="R46">
            <v>40080000</v>
          </cell>
          <cell r="S46">
            <v>0</v>
          </cell>
          <cell r="U46">
            <v>0</v>
          </cell>
          <cell r="V46">
            <v>66896000</v>
          </cell>
          <cell r="W46">
            <v>0</v>
          </cell>
          <cell r="X46">
            <v>8813471000</v>
          </cell>
        </row>
        <row r="47">
          <cell r="B47" t="str">
            <v>Khu quy hoạch văn hóa thể thao P2</v>
          </cell>
          <cell r="C47" t="str">
            <v>KBNN SĐ</v>
          </cell>
          <cell r="D47">
            <v>7481907</v>
          </cell>
          <cell r="E47">
            <v>1039836000</v>
          </cell>
          <cell r="F47">
            <v>531695000</v>
          </cell>
          <cell r="G47">
            <v>3547000</v>
          </cell>
          <cell r="I47">
            <v>3547000</v>
          </cell>
          <cell r="P47">
            <v>4598000</v>
          </cell>
          <cell r="Q47">
            <v>4598000</v>
          </cell>
          <cell r="R47">
            <v>4598000</v>
          </cell>
          <cell r="S47">
            <v>0</v>
          </cell>
          <cell r="U47">
            <v>0</v>
          </cell>
          <cell r="V47">
            <v>8145000</v>
          </cell>
          <cell r="W47">
            <v>0</v>
          </cell>
          <cell r="X47">
            <v>536293000</v>
          </cell>
        </row>
        <row r="48">
          <cell r="B48" t="str">
            <v>HT cấp nước sạch xã Tân Phú Đông</v>
          </cell>
          <cell r="C48" t="str">
            <v>KBNN SĐ</v>
          </cell>
          <cell r="D48">
            <v>7513256</v>
          </cell>
          <cell r="E48">
            <v>1882627000</v>
          </cell>
          <cell r="F48">
            <v>1576557000</v>
          </cell>
          <cell r="G48">
            <v>6357000</v>
          </cell>
          <cell r="I48">
            <v>6357000</v>
          </cell>
          <cell r="P48">
            <v>9253000</v>
          </cell>
          <cell r="Q48">
            <v>9253000</v>
          </cell>
          <cell r="R48">
            <v>9253000</v>
          </cell>
          <cell r="S48">
            <v>0</v>
          </cell>
          <cell r="U48">
            <v>0</v>
          </cell>
          <cell r="V48">
            <v>15610000</v>
          </cell>
          <cell r="W48">
            <v>0</v>
          </cell>
          <cell r="X48">
            <v>1585810000</v>
          </cell>
        </row>
        <row r="49">
          <cell r="B49" t="str">
            <v> Chợ Nông sản thành phố (vốn dân 50%, nhà nước 50%)</v>
          </cell>
          <cell r="C49" t="str">
            <v>KBNN SĐ</v>
          </cell>
          <cell r="D49">
            <v>7527631</v>
          </cell>
          <cell r="E49">
            <v>6413231000</v>
          </cell>
          <cell r="F49">
            <v>2793644000</v>
          </cell>
          <cell r="G49">
            <v>342000000</v>
          </cell>
          <cell r="I49">
            <v>342000000</v>
          </cell>
          <cell r="P49">
            <v>250000000</v>
          </cell>
          <cell r="Q49">
            <v>244376000</v>
          </cell>
          <cell r="R49">
            <v>244376000</v>
          </cell>
          <cell r="S49">
            <v>0</v>
          </cell>
          <cell r="U49">
            <v>5624000</v>
          </cell>
          <cell r="V49">
            <v>586376000</v>
          </cell>
          <cell r="W49">
            <v>0</v>
          </cell>
          <cell r="X49">
            <v>3038020000</v>
          </cell>
        </row>
        <row r="50">
          <cell r="B50" t="str">
            <v>Đường chùa giáp ranh huyện Châu Thành</v>
          </cell>
          <cell r="C50" t="str">
            <v>KBNN SĐ</v>
          </cell>
          <cell r="D50">
            <v>7540469</v>
          </cell>
          <cell r="E50">
            <v>2905786000</v>
          </cell>
          <cell r="F50">
            <v>1545000000</v>
          </cell>
          <cell r="P50">
            <v>760000000</v>
          </cell>
          <cell r="Q50">
            <v>745534000</v>
          </cell>
          <cell r="R50">
            <v>710553000</v>
          </cell>
          <cell r="S50">
            <v>34981000</v>
          </cell>
          <cell r="U50">
            <v>14466000</v>
          </cell>
          <cell r="V50">
            <v>710553000</v>
          </cell>
          <cell r="W50">
            <v>34981000</v>
          </cell>
          <cell r="X50">
            <v>2290534000</v>
          </cell>
        </row>
        <row r="51">
          <cell r="B51" t="str">
            <v>Đường Cao Mên dưới (đoạn từ cầu Ba Dớn - chùa Linh Nguyên</v>
          </cell>
          <cell r="C51" t="str">
            <v>KBNN SĐ</v>
          </cell>
          <cell r="D51">
            <v>7541990</v>
          </cell>
          <cell r="E51">
            <v>2578281000</v>
          </cell>
          <cell r="F51">
            <v>1244066000</v>
          </cell>
          <cell r="G51">
            <v>875357000</v>
          </cell>
          <cell r="I51">
            <v>875357000</v>
          </cell>
          <cell r="P51">
            <v>106000000</v>
          </cell>
          <cell r="Q51">
            <v>74590000</v>
          </cell>
          <cell r="R51">
            <v>74590000</v>
          </cell>
          <cell r="S51">
            <v>0</v>
          </cell>
          <cell r="U51">
            <v>31410000</v>
          </cell>
          <cell r="V51">
            <v>949947000</v>
          </cell>
          <cell r="W51">
            <v>0</v>
          </cell>
          <cell r="X51">
            <v>1318656000</v>
          </cell>
        </row>
        <row r="52">
          <cell r="B52" t="str">
            <v>Đường Xếp Mương Đào</v>
          </cell>
          <cell r="C52" t="str">
            <v>KBNN SĐ</v>
          </cell>
          <cell r="D52">
            <v>7545080</v>
          </cell>
          <cell r="E52">
            <v>7445411000</v>
          </cell>
          <cell r="P52">
            <v>300000000</v>
          </cell>
          <cell r="Q52">
            <v>300000000</v>
          </cell>
          <cell r="R52">
            <v>300000000</v>
          </cell>
          <cell r="S52">
            <v>0</v>
          </cell>
          <cell r="U52">
            <v>0</v>
          </cell>
          <cell r="V52">
            <v>300000000</v>
          </cell>
          <cell r="W52">
            <v>0</v>
          </cell>
          <cell r="X52">
            <v>300000000</v>
          </cell>
        </row>
        <row r="53">
          <cell r="B53" t="str">
            <v>Tuyến cấp nước bờ  trái đường QL 80 ( cầu Đốc Phủ Hiền- cầu Đội Thơ)</v>
          </cell>
          <cell r="C53" t="str">
            <v>KBNN SĐ</v>
          </cell>
          <cell r="D53">
            <v>7553437</v>
          </cell>
          <cell r="E53">
            <v>2715266000</v>
          </cell>
          <cell r="F53">
            <v>758735000</v>
          </cell>
          <cell r="G53">
            <v>670000000</v>
          </cell>
          <cell r="I53">
            <v>670000000</v>
          </cell>
          <cell r="P53">
            <v>1560000000</v>
          </cell>
          <cell r="Q53">
            <v>1560000000</v>
          </cell>
          <cell r="R53">
            <v>1560000000</v>
          </cell>
          <cell r="S53">
            <v>0</v>
          </cell>
          <cell r="U53">
            <v>0</v>
          </cell>
          <cell r="V53">
            <v>2230000000</v>
          </cell>
          <cell r="W53">
            <v>0</v>
          </cell>
          <cell r="X53">
            <v>2318735000</v>
          </cell>
        </row>
        <row r="54">
          <cell r="B54" t="str">
            <v>Cầu cảnh làng hoa</v>
          </cell>
          <cell r="C54" t="str">
            <v>KBNN SĐ</v>
          </cell>
          <cell r="D54">
            <v>7554153</v>
          </cell>
          <cell r="E54">
            <v>914547000</v>
          </cell>
          <cell r="F54">
            <v>618211000</v>
          </cell>
          <cell r="P54">
            <v>126000000</v>
          </cell>
          <cell r="Q54">
            <v>125199000</v>
          </cell>
          <cell r="R54">
            <v>125199000</v>
          </cell>
          <cell r="S54">
            <v>0</v>
          </cell>
          <cell r="U54">
            <v>801000</v>
          </cell>
          <cell r="V54">
            <v>125199000</v>
          </cell>
          <cell r="W54">
            <v>0</v>
          </cell>
          <cell r="X54">
            <v>743410000</v>
          </cell>
        </row>
        <row r="55">
          <cell r="B55" t="str">
            <v>Mở rộng đường rạch Chùa bờ trái ( ĐT 848- cầu Ba Nhạn)</v>
          </cell>
          <cell r="C55" t="str">
            <v>KBNN SĐ</v>
          </cell>
          <cell r="D55">
            <v>7557544</v>
          </cell>
          <cell r="E55">
            <v>2889367000</v>
          </cell>
          <cell r="F55">
            <v>50709000</v>
          </cell>
          <cell r="P55">
            <v>1858000000</v>
          </cell>
          <cell r="Q55">
            <v>1703933000</v>
          </cell>
          <cell r="R55">
            <v>1703933000</v>
          </cell>
          <cell r="S55">
            <v>0</v>
          </cell>
          <cell r="U55">
            <v>154067000</v>
          </cell>
          <cell r="V55">
            <v>1703933000</v>
          </cell>
          <cell r="W55">
            <v>0</v>
          </cell>
          <cell r="X55">
            <v>1754642000</v>
          </cell>
        </row>
        <row r="56">
          <cell r="B56" t="str">
            <v>Cầu Rạch Bà Điếc</v>
          </cell>
          <cell r="C56" t="str">
            <v>KBNN SĐ</v>
          </cell>
          <cell r="D56">
            <v>7557549</v>
          </cell>
          <cell r="E56">
            <v>1793076000</v>
          </cell>
          <cell r="F56">
            <v>709774000</v>
          </cell>
          <cell r="G56">
            <v>289606000</v>
          </cell>
          <cell r="I56">
            <v>289606000</v>
          </cell>
          <cell r="P56">
            <v>856000000</v>
          </cell>
          <cell r="Q56">
            <v>853793000</v>
          </cell>
          <cell r="R56">
            <v>853793000</v>
          </cell>
          <cell r="S56">
            <v>0</v>
          </cell>
          <cell r="U56">
            <v>2207000</v>
          </cell>
          <cell r="V56">
            <v>1143399000</v>
          </cell>
          <cell r="W56">
            <v>0</v>
          </cell>
          <cell r="X56">
            <v>1563567000</v>
          </cell>
        </row>
        <row r="57">
          <cell r="B57" t="str">
            <v>Đường từ Nguyễn Sinh Sắc đến Khu Liên hợp thể dục thể thao (vốn đền bù, GPMB)</v>
          </cell>
          <cell r="C57" t="str">
            <v>KBNN SĐ</v>
          </cell>
          <cell r="D57">
            <v>7562657</v>
          </cell>
          <cell r="E57">
            <v>51052108000</v>
          </cell>
          <cell r="P57">
            <v>14000000000</v>
          </cell>
          <cell r="Q57">
            <v>14000000000</v>
          </cell>
          <cell r="R57">
            <v>3509638000</v>
          </cell>
          <cell r="S57">
            <v>10490362000</v>
          </cell>
          <cell r="U57">
            <v>0</v>
          </cell>
          <cell r="V57">
            <v>3509638000</v>
          </cell>
          <cell r="W57">
            <v>10490362000</v>
          </cell>
          <cell r="X57">
            <v>14000000000</v>
          </cell>
        </row>
        <row r="58">
          <cell r="B58" t="str">
            <v>Hạ tầng phát triển du lịch thành phố Sa Đéc </v>
          </cell>
          <cell r="C58" t="str">
            <v>KBNN SĐ</v>
          </cell>
          <cell r="D58">
            <v>7563027</v>
          </cell>
          <cell r="E58">
            <v>30021238000</v>
          </cell>
          <cell r="F58">
            <v>3812284000</v>
          </cell>
          <cell r="G58">
            <v>501538000</v>
          </cell>
          <cell r="H58">
            <v>187716000</v>
          </cell>
          <cell r="I58">
            <v>313822000</v>
          </cell>
          <cell r="P58">
            <v>727000000</v>
          </cell>
          <cell r="Q58">
            <v>0</v>
          </cell>
          <cell r="S58">
            <v>0</v>
          </cell>
          <cell r="U58">
            <v>727000000</v>
          </cell>
          <cell r="V58">
            <v>313822000</v>
          </cell>
          <cell r="W58">
            <v>0</v>
          </cell>
          <cell r="X58">
            <v>3812284000</v>
          </cell>
        </row>
        <row r="59">
          <cell r="B59" t="str">
            <v>Hạ thế điện tuyến tránh QL80 ( bờ trái)</v>
          </cell>
          <cell r="C59" t="str">
            <v>KBNN SĐ</v>
          </cell>
          <cell r="D59">
            <v>7564177</v>
          </cell>
          <cell r="E59">
            <v>1360248000</v>
          </cell>
          <cell r="F59">
            <v>465000000</v>
          </cell>
          <cell r="G59">
            <v>19291000</v>
          </cell>
          <cell r="I59">
            <v>19291000</v>
          </cell>
          <cell r="P59">
            <v>464000000</v>
          </cell>
          <cell r="Q59">
            <v>463239000</v>
          </cell>
          <cell r="R59">
            <v>463239000</v>
          </cell>
          <cell r="S59">
            <v>0</v>
          </cell>
          <cell r="U59">
            <v>761000</v>
          </cell>
          <cell r="V59">
            <v>482530000</v>
          </cell>
          <cell r="W59">
            <v>0</v>
          </cell>
          <cell r="X59">
            <v>928239000</v>
          </cell>
        </row>
        <row r="60">
          <cell r="B60" t="str">
            <v>Hạ thế điện TPĐ: Điện Xẽo Gừa bờ trái+ điện Xẽo Gừa- Bà Phủ+ điện Xẽo Gừa -An Hòa.</v>
          </cell>
          <cell r="C60" t="str">
            <v>KBNN SĐ</v>
          </cell>
          <cell r="D60">
            <v>7564180</v>
          </cell>
          <cell r="E60">
            <v>1196338000</v>
          </cell>
          <cell r="F60">
            <v>645000000</v>
          </cell>
          <cell r="P60">
            <v>306000000</v>
          </cell>
          <cell r="Q60">
            <v>305597000</v>
          </cell>
          <cell r="R60">
            <v>305597000</v>
          </cell>
          <cell r="S60">
            <v>0</v>
          </cell>
          <cell r="U60">
            <v>403000</v>
          </cell>
          <cell r="V60">
            <v>305597000</v>
          </cell>
          <cell r="W60">
            <v>0</v>
          </cell>
          <cell r="X60">
            <v>950597000</v>
          </cell>
        </row>
        <row r="61">
          <cell r="B61" t="str">
            <v> Hạ thế điện đường Ô bao tập đoàn 9 (vàm bà Chủ - vàm Cai Khoa).</v>
          </cell>
          <cell r="C61" t="str">
            <v>KBNN SĐ</v>
          </cell>
          <cell r="D61">
            <v>7564190</v>
          </cell>
          <cell r="E61">
            <v>763360000</v>
          </cell>
          <cell r="F61">
            <v>549752000</v>
          </cell>
          <cell r="P61">
            <v>70000000</v>
          </cell>
          <cell r="Q61">
            <v>69861000</v>
          </cell>
          <cell r="R61">
            <v>69861000</v>
          </cell>
          <cell r="S61">
            <v>0</v>
          </cell>
          <cell r="U61">
            <v>139000</v>
          </cell>
          <cell r="V61">
            <v>69861000</v>
          </cell>
          <cell r="W61">
            <v>0</v>
          </cell>
          <cell r="X61">
            <v>619613000</v>
          </cell>
        </row>
        <row r="62">
          <cell r="B62" t="str">
            <v>Đường Trần Thị Nhượng (lát gạch vỉa hè)</v>
          </cell>
          <cell r="C62" t="str">
            <v>KBNN SĐ</v>
          </cell>
          <cell r="D62">
            <v>7564432</v>
          </cell>
          <cell r="E62">
            <v>1299026000</v>
          </cell>
          <cell r="F62">
            <v>1150686000</v>
          </cell>
          <cell r="G62">
            <v>20312000</v>
          </cell>
          <cell r="I62">
            <v>20312000</v>
          </cell>
          <cell r="P62">
            <v>6267000</v>
          </cell>
          <cell r="Q62">
            <v>6267000</v>
          </cell>
          <cell r="R62">
            <v>6267000</v>
          </cell>
          <cell r="S62">
            <v>0</v>
          </cell>
          <cell r="U62">
            <v>0</v>
          </cell>
          <cell r="V62">
            <v>26579000</v>
          </cell>
          <cell r="W62">
            <v>0</v>
          </cell>
          <cell r="X62">
            <v>1156953000</v>
          </cell>
        </row>
        <row r="63">
          <cell r="B63" t="str">
            <v>Hạ thế điện P.An Hòa: điện hẽm R. Chùa+ Điện hẽm Ba Nhanh+điện hẽm chùa Tây Hưng</v>
          </cell>
          <cell r="C63" t="str">
            <v>KBNN SĐ</v>
          </cell>
          <cell r="D63">
            <v>7564433</v>
          </cell>
          <cell r="E63">
            <v>659313000</v>
          </cell>
          <cell r="F63">
            <v>300000000</v>
          </cell>
          <cell r="P63">
            <v>210000000</v>
          </cell>
          <cell r="Q63">
            <v>209218000</v>
          </cell>
          <cell r="R63">
            <v>209218000</v>
          </cell>
          <cell r="S63">
            <v>0</v>
          </cell>
          <cell r="U63">
            <v>782000</v>
          </cell>
          <cell r="V63">
            <v>209218000</v>
          </cell>
          <cell r="W63">
            <v>0</v>
          </cell>
          <cell r="X63">
            <v>509218000</v>
          </cell>
        </row>
        <row r="64">
          <cell r="B64" t="str">
            <v>Hạ thế  điện tuyến Năm Nghi-Ba Làng</v>
          </cell>
          <cell r="C64" t="str">
            <v>KBNN SĐ</v>
          </cell>
          <cell r="D64">
            <v>7564434</v>
          </cell>
          <cell r="E64">
            <v>2406860000</v>
          </cell>
          <cell r="F64">
            <v>1580037000</v>
          </cell>
          <cell r="G64">
            <v>33079000</v>
          </cell>
          <cell r="I64">
            <v>33079000</v>
          </cell>
          <cell r="P64">
            <v>12900000</v>
          </cell>
          <cell r="Q64">
            <v>12900000</v>
          </cell>
          <cell r="R64">
            <v>12900000</v>
          </cell>
          <cell r="S64">
            <v>0</v>
          </cell>
          <cell r="U64">
            <v>0</v>
          </cell>
          <cell r="V64">
            <v>45979000</v>
          </cell>
          <cell r="W64">
            <v>0</v>
          </cell>
          <cell r="X64">
            <v>1592937000</v>
          </cell>
        </row>
        <row r="65">
          <cell r="B65" t="str">
            <v> Mở rộng đường rạch Chùa bờ phải ( ĐT 848- cầu Hai Đường)</v>
          </cell>
          <cell r="C65" t="str">
            <v>KBNN SĐ</v>
          </cell>
          <cell r="D65">
            <v>7565464</v>
          </cell>
          <cell r="E65">
            <v>2244860000</v>
          </cell>
          <cell r="F65">
            <v>45686000</v>
          </cell>
          <cell r="P65">
            <v>2077000000</v>
          </cell>
          <cell r="Q65">
            <v>1990981000</v>
          </cell>
          <cell r="R65">
            <v>1990981000</v>
          </cell>
          <cell r="S65">
            <v>0</v>
          </cell>
          <cell r="U65">
            <v>86019000</v>
          </cell>
          <cell r="V65">
            <v>1990981000</v>
          </cell>
          <cell r="W65">
            <v>0</v>
          </cell>
          <cell r="X65">
            <v>2036667000</v>
          </cell>
        </row>
        <row r="66">
          <cell r="B66" t="str">
            <v>Đường rạch Cao Mên (từ ĐT 852 đến cầu Miễu)</v>
          </cell>
          <cell r="C66" t="str">
            <v>KBNN SĐ</v>
          </cell>
          <cell r="D66">
            <v>7565466</v>
          </cell>
          <cell r="E66">
            <v>1118959000</v>
          </cell>
          <cell r="F66">
            <v>238358000</v>
          </cell>
          <cell r="G66">
            <v>208629000</v>
          </cell>
          <cell r="I66">
            <v>208629000</v>
          </cell>
          <cell r="P66">
            <v>905000000</v>
          </cell>
          <cell r="Q66">
            <v>823516000</v>
          </cell>
          <cell r="R66">
            <v>823516000</v>
          </cell>
          <cell r="S66">
            <v>0</v>
          </cell>
          <cell r="U66">
            <v>81484000</v>
          </cell>
          <cell r="V66">
            <v>1032145000</v>
          </cell>
          <cell r="W66">
            <v>0</v>
          </cell>
          <cell r="X66">
            <v>1061874000</v>
          </cell>
        </row>
        <row r="67">
          <cell r="B67" t="str">
            <v>Mở rộng đường cặp rạch Nàng Hai ( từ cầu Hồ Tùng Mậu- chùa Tây Hưng)</v>
          </cell>
          <cell r="C67" t="str">
            <v>KBNN SĐ</v>
          </cell>
          <cell r="D67">
            <v>7565471</v>
          </cell>
          <cell r="E67">
            <v>2779304000</v>
          </cell>
          <cell r="F67">
            <v>906963000</v>
          </cell>
          <cell r="G67">
            <v>495891000</v>
          </cell>
          <cell r="I67">
            <v>495891000</v>
          </cell>
          <cell r="P67">
            <v>1592000000</v>
          </cell>
          <cell r="Q67">
            <v>1523919000</v>
          </cell>
          <cell r="R67">
            <v>1523919000</v>
          </cell>
          <cell r="S67">
            <v>0</v>
          </cell>
          <cell r="U67">
            <v>68081000</v>
          </cell>
          <cell r="V67">
            <v>2019810000</v>
          </cell>
          <cell r="W67">
            <v>0</v>
          </cell>
          <cell r="X67">
            <v>2430882000</v>
          </cell>
        </row>
        <row r="68">
          <cell r="B68" t="str">
            <v>Mở rộng đường Ngã Cạy bờ trái</v>
          </cell>
          <cell r="C68" t="str">
            <v>KBNN SĐ</v>
          </cell>
          <cell r="D68">
            <v>7565726</v>
          </cell>
          <cell r="E68">
            <v>6585165000</v>
          </cell>
          <cell r="F68">
            <v>1181548000</v>
          </cell>
          <cell r="G68">
            <v>195458000</v>
          </cell>
          <cell r="H68">
            <v>145841000</v>
          </cell>
          <cell r="I68">
            <v>49617000</v>
          </cell>
          <cell r="P68">
            <v>3725000000</v>
          </cell>
          <cell r="Q68">
            <v>3725000000</v>
          </cell>
          <cell r="R68">
            <v>3725000000</v>
          </cell>
          <cell r="S68">
            <v>0</v>
          </cell>
          <cell r="U68">
            <v>0</v>
          </cell>
          <cell r="V68">
            <v>3774617000</v>
          </cell>
          <cell r="W68">
            <v>0</v>
          </cell>
          <cell r="X68">
            <v>4906548000</v>
          </cell>
        </row>
        <row r="69">
          <cell r="B69" t="str">
            <v> Hạ thế điện xã TQT: Tuyến điện Cao Mên trên (cầu Cao Mên - cầu Miễu)</v>
          </cell>
          <cell r="C69" t="str">
            <v>KBNN SĐ</v>
          </cell>
          <cell r="D69">
            <v>7566894</v>
          </cell>
          <cell r="E69">
            <v>205400000</v>
          </cell>
          <cell r="P69">
            <v>181000000</v>
          </cell>
          <cell r="Q69">
            <v>180931000</v>
          </cell>
          <cell r="R69">
            <v>180931000</v>
          </cell>
          <cell r="S69">
            <v>0</v>
          </cell>
          <cell r="U69">
            <v>69000</v>
          </cell>
          <cell r="V69">
            <v>180931000</v>
          </cell>
          <cell r="W69">
            <v>0</v>
          </cell>
          <cell r="X69">
            <v>180931000</v>
          </cell>
        </row>
        <row r="70">
          <cell r="B70" t="str">
            <v>Trụ sở Thành Ủy (hạng mục: kho lưu trữu và nhà ăn)</v>
          </cell>
          <cell r="C70" t="str">
            <v>KBNN SĐ</v>
          </cell>
          <cell r="D70">
            <v>7568846</v>
          </cell>
          <cell r="E70">
            <v>7872849000</v>
          </cell>
          <cell r="F70">
            <v>4000000000</v>
          </cell>
          <cell r="G70">
            <v>189238000</v>
          </cell>
          <cell r="I70">
            <v>189238000</v>
          </cell>
          <cell r="P70">
            <v>3446000000</v>
          </cell>
          <cell r="Q70">
            <v>3445597000</v>
          </cell>
          <cell r="R70">
            <v>3445597000</v>
          </cell>
          <cell r="S70">
            <v>0</v>
          </cell>
          <cell r="U70">
            <v>403000</v>
          </cell>
          <cell r="V70">
            <v>3634835000</v>
          </cell>
          <cell r="W70">
            <v>0</v>
          </cell>
          <cell r="X70">
            <v>7445597000</v>
          </cell>
        </row>
        <row r="71">
          <cell r="B71" t="str">
            <v>Mở rộng Hẽm số 11-P4</v>
          </cell>
          <cell r="C71" t="str">
            <v>KBNN SĐ</v>
          </cell>
          <cell r="D71">
            <v>7572362</v>
          </cell>
          <cell r="E71">
            <v>1146858000</v>
          </cell>
          <cell r="F71">
            <v>31392000</v>
          </cell>
          <cell r="P71">
            <v>1080000000</v>
          </cell>
          <cell r="Q71">
            <v>1079054000</v>
          </cell>
          <cell r="R71">
            <v>1079054000</v>
          </cell>
          <cell r="S71">
            <v>0</v>
          </cell>
          <cell r="U71">
            <v>946000</v>
          </cell>
          <cell r="V71">
            <v>1079054000</v>
          </cell>
          <cell r="W71">
            <v>0</v>
          </cell>
          <cell r="X71">
            <v>1110446000</v>
          </cell>
        </row>
        <row r="72">
          <cell r="B72" t="str">
            <v>Trụ sở UBND phường 4</v>
          </cell>
          <cell r="C72" t="str">
            <v>KBNN SĐ</v>
          </cell>
          <cell r="D72">
            <v>7580550</v>
          </cell>
          <cell r="E72">
            <v>4985231000</v>
          </cell>
          <cell r="P72">
            <v>1090000000</v>
          </cell>
          <cell r="Q72">
            <v>361918000</v>
          </cell>
          <cell r="R72">
            <v>361918000</v>
          </cell>
          <cell r="S72">
            <v>0</v>
          </cell>
          <cell r="U72">
            <v>728082000</v>
          </cell>
          <cell r="V72">
            <v>361918000</v>
          </cell>
          <cell r="W72">
            <v>0</v>
          </cell>
          <cell r="X72">
            <v>361918000</v>
          </cell>
        </row>
        <row r="73">
          <cell r="B73" t="str">
            <v>Cảnh Quan làng hoa Sa Nhiên - Cai Dao</v>
          </cell>
          <cell r="C73" t="str">
            <v>KBNN SĐ</v>
          </cell>
          <cell r="D73">
            <v>7583497</v>
          </cell>
          <cell r="E73">
            <v>8794741000</v>
          </cell>
          <cell r="F73">
            <v>100000000</v>
          </cell>
          <cell r="P73">
            <v>5200000000</v>
          </cell>
          <cell r="Q73">
            <v>4555750000</v>
          </cell>
          <cell r="R73">
            <v>3779788000</v>
          </cell>
          <cell r="S73">
            <v>775962000</v>
          </cell>
          <cell r="U73">
            <v>644250000</v>
          </cell>
          <cell r="V73">
            <v>3779788000</v>
          </cell>
          <cell r="W73">
            <v>775962000</v>
          </cell>
          <cell r="X73">
            <v>4655750000</v>
          </cell>
        </row>
        <row r="74">
          <cell r="B74" t="str">
            <v>Nâng cấp đường Nguyễn Huệ (đoạn từ Cầu Cái Sơn 1 đến cầu Sắt)</v>
          </cell>
          <cell r="C74" t="str">
            <v>KBNN SĐ</v>
          </cell>
          <cell r="D74">
            <v>7591476</v>
          </cell>
          <cell r="E74">
            <v>1148840000</v>
          </cell>
          <cell r="P74">
            <v>950000000</v>
          </cell>
          <cell r="Q74">
            <v>949371000</v>
          </cell>
          <cell r="R74">
            <v>949371000</v>
          </cell>
          <cell r="S74">
            <v>0</v>
          </cell>
          <cell r="U74">
            <v>629000</v>
          </cell>
          <cell r="V74">
            <v>949371000</v>
          </cell>
          <cell r="W74">
            <v>0</v>
          </cell>
          <cell r="X74">
            <v>949371000</v>
          </cell>
        </row>
        <row r="75">
          <cell r="B75" t="str">
            <v>Khu hành chính UBND TP Sa Đéc</v>
          </cell>
          <cell r="C75" t="str">
            <v>KBNN SĐ</v>
          </cell>
          <cell r="D75">
            <v>7598699</v>
          </cell>
          <cell r="E75">
            <v>4217439000</v>
          </cell>
          <cell r="P75">
            <v>3830000000</v>
          </cell>
          <cell r="Q75">
            <v>3648807000</v>
          </cell>
          <cell r="R75">
            <v>3575535000</v>
          </cell>
          <cell r="S75">
            <v>73272000</v>
          </cell>
          <cell r="U75">
            <v>181193000</v>
          </cell>
          <cell r="V75">
            <v>3575535000</v>
          </cell>
          <cell r="W75">
            <v>73272000</v>
          </cell>
          <cell r="X75">
            <v>3648807000</v>
          </cell>
        </row>
        <row r="76">
          <cell r="B76" t="str">
            <v>Cầu Tư Ú</v>
          </cell>
          <cell r="C76" t="str">
            <v>KBNN SĐ</v>
          </cell>
          <cell r="D76">
            <v>7600800</v>
          </cell>
          <cell r="E76">
            <v>3826729000</v>
          </cell>
          <cell r="F76">
            <v>45758000</v>
          </cell>
          <cell r="P76">
            <v>2000000000</v>
          </cell>
          <cell r="Q76">
            <v>1949777000</v>
          </cell>
          <cell r="R76">
            <v>1486717000</v>
          </cell>
          <cell r="S76">
            <v>463060000</v>
          </cell>
          <cell r="U76">
            <v>50223000</v>
          </cell>
          <cell r="V76">
            <v>1486717000</v>
          </cell>
          <cell r="W76">
            <v>463060000</v>
          </cell>
          <cell r="X76">
            <v>1995535000</v>
          </cell>
        </row>
        <row r="77">
          <cell r="B77" t="str">
            <v>Cụm dân cư Tân Khánh Đông (Đông Quới-sinh lợi)</v>
          </cell>
          <cell r="C77" t="str">
            <v>KBNN SĐ</v>
          </cell>
          <cell r="D77">
            <v>7613377</v>
          </cell>
          <cell r="E77">
            <v>8815138000</v>
          </cell>
          <cell r="P77">
            <v>7400000000</v>
          </cell>
          <cell r="Q77">
            <v>7061475000</v>
          </cell>
          <cell r="R77">
            <v>7041503000</v>
          </cell>
          <cell r="S77">
            <v>19972000</v>
          </cell>
          <cell r="U77">
            <v>338525000</v>
          </cell>
          <cell r="V77">
            <v>7041503000</v>
          </cell>
          <cell r="W77">
            <v>19972000</v>
          </cell>
          <cell r="X77">
            <v>7061475000</v>
          </cell>
        </row>
        <row r="78">
          <cell r="B78" t="str">
            <v>Mở rộng nâng cấp Trụ sở UBND phường Tân Quy Đông</v>
          </cell>
          <cell r="C78" t="str">
            <v>KBNN SĐ</v>
          </cell>
          <cell r="D78">
            <v>7613509</v>
          </cell>
          <cell r="E78">
            <v>1505071000</v>
          </cell>
          <cell r="P78">
            <v>1255000000</v>
          </cell>
          <cell r="Q78">
            <v>1102823000</v>
          </cell>
          <cell r="R78">
            <v>1083064000</v>
          </cell>
          <cell r="S78">
            <v>19759000</v>
          </cell>
          <cell r="U78">
            <v>152177000</v>
          </cell>
          <cell r="V78">
            <v>1083064000</v>
          </cell>
          <cell r="W78">
            <v>19759000</v>
          </cell>
          <cell r="X78">
            <v>1102823000</v>
          </cell>
        </row>
        <row r="79">
          <cell r="B79" t="str">
            <v>Khu trung tâm mua sắm Phú Mỹ</v>
          </cell>
          <cell r="C79" t="str">
            <v>KBNN SĐ</v>
          </cell>
          <cell r="D79">
            <v>7617700</v>
          </cell>
          <cell r="E79">
            <v>8453908000</v>
          </cell>
          <cell r="P79">
            <v>7365000000</v>
          </cell>
          <cell r="Q79">
            <v>7272903000</v>
          </cell>
          <cell r="R79">
            <v>7272903000</v>
          </cell>
          <cell r="S79">
            <v>0</v>
          </cell>
          <cell r="U79">
            <v>92097000</v>
          </cell>
          <cell r="V79">
            <v>7272903000</v>
          </cell>
          <cell r="W79">
            <v>0</v>
          </cell>
          <cell r="X79">
            <v>7272903000</v>
          </cell>
        </row>
        <row r="80">
          <cell r="B80" t="str">
            <v>San lấp mặt bằng đường Trần Thị Nhương (gđ 3)</v>
          </cell>
          <cell r="C80" t="str">
            <v>KBNN SĐ</v>
          </cell>
          <cell r="D80">
            <v>7649544</v>
          </cell>
          <cell r="E80">
            <v>856805000</v>
          </cell>
          <cell r="P80">
            <v>770000000</v>
          </cell>
          <cell r="Q80">
            <v>534735000</v>
          </cell>
          <cell r="R80">
            <v>534735000</v>
          </cell>
          <cell r="S80">
            <v>0</v>
          </cell>
          <cell r="U80">
            <v>235265000</v>
          </cell>
          <cell r="V80">
            <v>534735000</v>
          </cell>
          <cell r="W80">
            <v>0</v>
          </cell>
          <cell r="X80">
            <v>534735000</v>
          </cell>
        </row>
        <row r="81">
          <cell r="B81" t="str">
            <v>Đường nội bộ Khu trung tâm thương mại TP Sa Đéc-đoạn nối đường số 03 với đường Lý Thường Kiệt</v>
          </cell>
          <cell r="C81" t="str">
            <v>KBNN SĐ</v>
          </cell>
          <cell r="D81">
            <v>7649945</v>
          </cell>
          <cell r="E81">
            <v>387446000</v>
          </cell>
          <cell r="P81">
            <v>350000000</v>
          </cell>
          <cell r="Q81">
            <v>331072000</v>
          </cell>
          <cell r="R81">
            <v>331072000</v>
          </cell>
          <cell r="S81">
            <v>0</v>
          </cell>
          <cell r="U81">
            <v>18928000</v>
          </cell>
          <cell r="V81">
            <v>331072000</v>
          </cell>
          <cell r="W81">
            <v>0</v>
          </cell>
          <cell r="X81">
            <v>331072000</v>
          </cell>
        </row>
        <row r="82">
          <cell r="B82" t="str">
            <v>Khu dân cư ngân hàng nông nghiệp</v>
          </cell>
          <cell r="C82" t="str">
            <v>KBNN SĐ</v>
          </cell>
          <cell r="D82">
            <v>7318735</v>
          </cell>
          <cell r="E82">
            <v>935124000</v>
          </cell>
          <cell r="F82">
            <v>904750000</v>
          </cell>
          <cell r="P82">
            <v>8595000</v>
          </cell>
          <cell r="Q82">
            <v>8595000</v>
          </cell>
          <cell r="R82">
            <v>8595000</v>
          </cell>
          <cell r="S82">
            <v>0</v>
          </cell>
          <cell r="U82">
            <v>0</v>
          </cell>
          <cell r="V82">
            <v>8595000</v>
          </cell>
          <cell r="W82">
            <v>0</v>
          </cell>
          <cell r="X82">
            <v>913345000</v>
          </cell>
        </row>
        <row r="83">
          <cell r="B83" t="str">
            <v>Đươờng Thông Lưu bờ trái</v>
          </cell>
          <cell r="C83" t="str">
            <v>KBNN SĐ</v>
          </cell>
          <cell r="D83">
            <v>7369548</v>
          </cell>
          <cell r="E83">
            <v>5427915000</v>
          </cell>
          <cell r="F83">
            <v>2534008000</v>
          </cell>
          <cell r="P83">
            <v>17334000</v>
          </cell>
          <cell r="Q83">
            <v>17334000</v>
          </cell>
          <cell r="R83">
            <v>17334000</v>
          </cell>
          <cell r="S83">
            <v>0</v>
          </cell>
          <cell r="U83">
            <v>0</v>
          </cell>
          <cell r="V83">
            <v>17334000</v>
          </cell>
          <cell r="W83">
            <v>0</v>
          </cell>
          <cell r="X83">
            <v>2551342000</v>
          </cell>
        </row>
        <row r="84">
          <cell r="B84" t="str">
            <v>Đường Hùng Vương (rạch Rắn-Quốc lộ80)</v>
          </cell>
          <cell r="C84" t="str">
            <v>KBNN SĐ</v>
          </cell>
          <cell r="D84">
            <v>7380622</v>
          </cell>
          <cell r="E84">
            <v>9707716000</v>
          </cell>
          <cell r="F84">
            <v>8269248000</v>
          </cell>
          <cell r="G84">
            <v>6985000</v>
          </cell>
          <cell r="I84">
            <v>6985000</v>
          </cell>
          <cell r="P84">
            <v>36676000</v>
          </cell>
          <cell r="Q84">
            <v>36676000</v>
          </cell>
          <cell r="R84">
            <v>36676000</v>
          </cell>
          <cell r="S84">
            <v>0</v>
          </cell>
          <cell r="U84">
            <v>0</v>
          </cell>
          <cell r="V84">
            <v>43661000</v>
          </cell>
          <cell r="W84">
            <v>0</v>
          </cell>
          <cell r="X84">
            <v>8305924000</v>
          </cell>
        </row>
        <row r="85">
          <cell r="B85" t="str">
            <v>Trươờng tiểu học Tân Khánh Đông gđ 2</v>
          </cell>
          <cell r="C85" t="str">
            <v>KBNN SĐ</v>
          </cell>
          <cell r="D85">
            <v>7427503</v>
          </cell>
          <cell r="E85">
            <v>14994450000</v>
          </cell>
          <cell r="F85">
            <v>9734415000</v>
          </cell>
          <cell r="G85">
            <v>25800000</v>
          </cell>
          <cell r="I85">
            <v>25800000</v>
          </cell>
          <cell r="P85">
            <v>74625000</v>
          </cell>
          <cell r="Q85">
            <v>74625000</v>
          </cell>
          <cell r="R85">
            <v>74625000</v>
          </cell>
          <cell r="S85">
            <v>0</v>
          </cell>
          <cell r="U85">
            <v>0</v>
          </cell>
          <cell r="V85">
            <v>100425000</v>
          </cell>
          <cell r="W85">
            <v>0</v>
          </cell>
          <cell r="X85">
            <v>9809040000</v>
          </cell>
        </row>
        <row r="86">
          <cell r="B86" t="str">
            <v>Đường Ngã Bát bờ trái</v>
          </cell>
          <cell r="C86" t="str">
            <v>KBNN SĐ</v>
          </cell>
          <cell r="D86">
            <v>7389631</v>
          </cell>
          <cell r="E86">
            <v>9433457000</v>
          </cell>
          <cell r="F86">
            <v>5542901000</v>
          </cell>
          <cell r="G86">
            <v>19628000</v>
          </cell>
          <cell r="I86">
            <v>19628000</v>
          </cell>
          <cell r="P86">
            <v>35375000</v>
          </cell>
          <cell r="Q86">
            <v>35375000</v>
          </cell>
          <cell r="R86">
            <v>35375000</v>
          </cell>
          <cell r="S86">
            <v>0</v>
          </cell>
          <cell r="U86">
            <v>0</v>
          </cell>
          <cell r="V86">
            <v>55003000</v>
          </cell>
          <cell r="W86">
            <v>0</v>
          </cell>
          <cell r="X86">
            <v>5578276000</v>
          </cell>
        </row>
        <row r="87">
          <cell r="B87" t="str">
            <v>Tất toán hoàn thành công trình</v>
          </cell>
          <cell r="P87">
            <v>13183000</v>
          </cell>
          <cell r="Q87">
            <v>0</v>
          </cell>
          <cell r="S87">
            <v>0</v>
          </cell>
          <cell r="U87">
            <v>13183000</v>
          </cell>
          <cell r="V87">
            <v>0</v>
          </cell>
          <cell r="W87">
            <v>0</v>
          </cell>
          <cell r="X87">
            <v>0</v>
          </cell>
        </row>
        <row r="88">
          <cell r="B88" t="str">
            <v>* Vốn từ nguồn thu tiền sử dụng đất</v>
          </cell>
          <cell r="E88">
            <v>179891926000</v>
          </cell>
          <cell r="F88">
            <v>39757795000</v>
          </cell>
          <cell r="G88">
            <v>4954424000</v>
          </cell>
          <cell r="H88">
            <v>4914000</v>
          </cell>
          <cell r="I88">
            <v>4949510000</v>
          </cell>
          <cell r="J88">
            <v>0</v>
          </cell>
          <cell r="K88">
            <v>0</v>
          </cell>
          <cell r="L88">
            <v>0</v>
          </cell>
          <cell r="M88">
            <v>0</v>
          </cell>
          <cell r="N88">
            <v>0</v>
          </cell>
          <cell r="O88">
            <v>0</v>
          </cell>
          <cell r="P88">
            <v>54366000000</v>
          </cell>
          <cell r="Q88">
            <v>51226593000</v>
          </cell>
          <cell r="R88">
            <v>43909145000</v>
          </cell>
          <cell r="S88">
            <v>7317448000</v>
          </cell>
          <cell r="T88">
            <v>0</v>
          </cell>
          <cell r="U88">
            <v>3139407000</v>
          </cell>
          <cell r="V88">
            <v>48858655000</v>
          </cell>
          <cell r="W88">
            <v>7317448000</v>
          </cell>
          <cell r="X88">
            <v>90984388000</v>
          </cell>
        </row>
        <row r="89">
          <cell r="B89" t="str">
            <v>Vốn chuẩn bị đầu tư</v>
          </cell>
          <cell r="E89">
            <v>21959161000</v>
          </cell>
          <cell r="F89">
            <v>0</v>
          </cell>
          <cell r="G89">
            <v>0</v>
          </cell>
          <cell r="H89">
            <v>0</v>
          </cell>
          <cell r="I89">
            <v>0</v>
          </cell>
          <cell r="J89">
            <v>0</v>
          </cell>
          <cell r="K89">
            <v>0</v>
          </cell>
          <cell r="L89">
            <v>0</v>
          </cell>
          <cell r="M89">
            <v>0</v>
          </cell>
          <cell r="N89">
            <v>0</v>
          </cell>
          <cell r="O89">
            <v>0</v>
          </cell>
          <cell r="P89">
            <v>300000000</v>
          </cell>
          <cell r="Q89">
            <v>281256000</v>
          </cell>
          <cell r="R89">
            <v>281256000</v>
          </cell>
          <cell r="S89">
            <v>0</v>
          </cell>
          <cell r="T89">
            <v>0</v>
          </cell>
          <cell r="U89">
            <v>18744000</v>
          </cell>
          <cell r="V89">
            <v>281256000</v>
          </cell>
          <cell r="W89">
            <v>0</v>
          </cell>
          <cell r="X89">
            <v>281256000</v>
          </cell>
        </row>
        <row r="90">
          <cell r="B90" t="str">
            <v>Khu liên hợp thể dục thể thao (hạng mục: hạ tầng, giao thông)</v>
          </cell>
          <cell r="C90" t="str">
            <v>KBNN SĐ</v>
          </cell>
          <cell r="D90">
            <v>7594215</v>
          </cell>
          <cell r="E90">
            <v>21959161000</v>
          </cell>
          <cell r="P90">
            <v>300000000</v>
          </cell>
          <cell r="Q90">
            <v>281256000</v>
          </cell>
          <cell r="R90">
            <v>281256000</v>
          </cell>
          <cell r="S90">
            <v>0</v>
          </cell>
          <cell r="U90">
            <v>18744000</v>
          </cell>
          <cell r="V90">
            <v>281256000</v>
          </cell>
          <cell r="W90">
            <v>0</v>
          </cell>
          <cell r="X90">
            <v>281256000</v>
          </cell>
        </row>
        <row r="91">
          <cell r="B91" t="str">
            <v>Vốn thực hiện đầu tư</v>
          </cell>
          <cell r="E91">
            <v>157932765000</v>
          </cell>
          <cell r="F91">
            <v>39757795000</v>
          </cell>
          <cell r="G91">
            <v>4954424000</v>
          </cell>
          <cell r="H91">
            <v>4914000</v>
          </cell>
          <cell r="I91">
            <v>4949510000</v>
          </cell>
          <cell r="J91">
            <v>0</v>
          </cell>
          <cell r="K91">
            <v>0</v>
          </cell>
          <cell r="L91">
            <v>0</v>
          </cell>
          <cell r="M91">
            <v>0</v>
          </cell>
          <cell r="N91">
            <v>0</v>
          </cell>
          <cell r="O91">
            <v>0</v>
          </cell>
          <cell r="P91">
            <v>54066000000</v>
          </cell>
          <cell r="Q91">
            <v>50945337000</v>
          </cell>
          <cell r="R91">
            <v>43627889000</v>
          </cell>
          <cell r="S91">
            <v>7317448000</v>
          </cell>
          <cell r="T91">
            <v>0</v>
          </cell>
          <cell r="U91">
            <v>3120663000</v>
          </cell>
          <cell r="V91">
            <v>48577399000</v>
          </cell>
          <cell r="W91">
            <v>7317448000</v>
          </cell>
          <cell r="X91">
            <v>90703132000</v>
          </cell>
        </row>
        <row r="92">
          <cell r="B92" t="str">
            <v>Khu Liên hợp thể dục thể thao (hạng mục: san lấp MB, bồi hoàn bổ sung)</v>
          </cell>
          <cell r="C92" t="str">
            <v>KBNN SĐ</v>
          </cell>
          <cell r="D92">
            <v>7410845</v>
          </cell>
          <cell r="E92">
            <v>40400867000</v>
          </cell>
          <cell r="F92">
            <v>26229810000</v>
          </cell>
          <cell r="G92">
            <v>2129097000</v>
          </cell>
          <cell r="H92">
            <v>4914000</v>
          </cell>
          <cell r="I92">
            <v>2124183000</v>
          </cell>
          <cell r="P92">
            <v>705000000</v>
          </cell>
          <cell r="Q92">
            <v>695595000</v>
          </cell>
          <cell r="R92">
            <v>695595000</v>
          </cell>
          <cell r="S92">
            <v>0</v>
          </cell>
          <cell r="U92">
            <v>9405000</v>
          </cell>
          <cell r="V92">
            <v>2819778000</v>
          </cell>
          <cell r="W92">
            <v>0</v>
          </cell>
          <cell r="X92">
            <v>26925405000</v>
          </cell>
        </row>
        <row r="93">
          <cell r="B93" t="str">
            <v>Cầu +Đường Tôn Đức Thắng nối dài </v>
          </cell>
          <cell r="C93" t="str">
            <v>KBNN SĐ</v>
          </cell>
          <cell r="D93">
            <v>7477364</v>
          </cell>
          <cell r="E93">
            <v>25795526000</v>
          </cell>
          <cell r="F93">
            <v>9152571000</v>
          </cell>
          <cell r="G93">
            <v>2152660000</v>
          </cell>
          <cell r="I93">
            <v>2152660000</v>
          </cell>
          <cell r="P93">
            <v>5550000000</v>
          </cell>
          <cell r="Q93">
            <v>4684155000</v>
          </cell>
          <cell r="R93">
            <v>4625992000</v>
          </cell>
          <cell r="S93">
            <v>58163000</v>
          </cell>
          <cell r="U93">
            <v>865845000</v>
          </cell>
          <cell r="V93">
            <v>6778652000</v>
          </cell>
          <cell r="W93">
            <v>58163000</v>
          </cell>
          <cell r="X93">
            <v>13836726000</v>
          </cell>
        </row>
        <row r="94">
          <cell r="B94" t="str">
            <v>Đường Nguyễn Tất Thành nối dài ( từ Đ.NSS - rạch Ngã Bát) Vốn đền bù, GPMB</v>
          </cell>
          <cell r="C94" t="str">
            <v>KBNN SĐ</v>
          </cell>
          <cell r="D94">
            <v>7498196</v>
          </cell>
          <cell r="E94">
            <v>26668076000</v>
          </cell>
          <cell r="F94">
            <v>175205000</v>
          </cell>
          <cell r="P94">
            <v>19817000000</v>
          </cell>
          <cell r="Q94">
            <v>18840057000</v>
          </cell>
          <cell r="R94">
            <v>17103099000</v>
          </cell>
          <cell r="S94">
            <v>1736958000</v>
          </cell>
          <cell r="U94">
            <v>976943000</v>
          </cell>
          <cell r="V94">
            <v>17103099000</v>
          </cell>
          <cell r="W94">
            <v>1736958000</v>
          </cell>
          <cell r="X94">
            <v>19015262000</v>
          </cell>
        </row>
        <row r="95">
          <cell r="B95" t="str">
            <v> Đường nối cảnh quan kè sông Tiền, khu dân cư khóm 3 với đường dẫn bến phà</v>
          </cell>
          <cell r="C95" t="str">
            <v>KBNN SĐ</v>
          </cell>
          <cell r="D95">
            <v>7549256</v>
          </cell>
          <cell r="E95">
            <v>3246315000</v>
          </cell>
          <cell r="F95">
            <v>68397000</v>
          </cell>
          <cell r="P95">
            <v>3000000000</v>
          </cell>
          <cell r="Q95">
            <v>2604734000</v>
          </cell>
          <cell r="R95">
            <v>2574687000</v>
          </cell>
          <cell r="S95">
            <v>30047000</v>
          </cell>
          <cell r="U95">
            <v>395266000</v>
          </cell>
          <cell r="V95">
            <v>2574687000</v>
          </cell>
          <cell r="W95">
            <v>30047000</v>
          </cell>
          <cell r="X95">
            <v>2673131000</v>
          </cell>
        </row>
        <row r="96">
          <cell r="B96" t="str">
            <v>Mở rộng nghĩa trang nhân dân giai đoạn 2 (Vốn đền bù)</v>
          </cell>
          <cell r="C96" t="str">
            <v>KBNN SĐ</v>
          </cell>
          <cell r="D96">
            <v>7553805</v>
          </cell>
          <cell r="E96">
            <v>22746149000</v>
          </cell>
          <cell r="F96">
            <v>165506000</v>
          </cell>
          <cell r="P96">
            <v>13000000000</v>
          </cell>
          <cell r="Q96">
            <v>12636118000</v>
          </cell>
          <cell r="R96">
            <v>9512914000</v>
          </cell>
          <cell r="S96">
            <v>3123204000</v>
          </cell>
          <cell r="U96">
            <v>363882000</v>
          </cell>
          <cell r="V96">
            <v>9512914000</v>
          </cell>
          <cell r="W96">
            <v>3123204000</v>
          </cell>
          <cell r="X96">
            <v>12801624000</v>
          </cell>
        </row>
        <row r="97">
          <cell r="B97" t="str">
            <v> Trường Tiểu học Phú Mỹ</v>
          </cell>
          <cell r="C97" t="str">
            <v>KBNN SĐ</v>
          </cell>
          <cell r="D97">
            <v>7561462</v>
          </cell>
          <cell r="E97">
            <v>12404158000</v>
          </cell>
          <cell r="F97">
            <v>339243000</v>
          </cell>
          <cell r="P97">
            <v>1205000000</v>
          </cell>
          <cell r="Q97">
            <v>813036000</v>
          </cell>
          <cell r="R97">
            <v>813036000</v>
          </cell>
          <cell r="S97">
            <v>0</v>
          </cell>
          <cell r="U97">
            <v>391964000</v>
          </cell>
          <cell r="V97">
            <v>813036000</v>
          </cell>
          <cell r="W97">
            <v>0</v>
          </cell>
          <cell r="X97">
            <v>1152279000</v>
          </cell>
        </row>
        <row r="98">
          <cell r="B98" t="str">
            <v>Trường Mầm non Hoa Sen (Sửa chữa, nâng cấp)</v>
          </cell>
          <cell r="C98" t="str">
            <v>KBNN SĐ</v>
          </cell>
          <cell r="D98">
            <v>7564452</v>
          </cell>
          <cell r="E98">
            <v>2167080000</v>
          </cell>
          <cell r="F98">
            <v>1250000000</v>
          </cell>
          <cell r="P98">
            <v>755000000</v>
          </cell>
          <cell r="Q98">
            <v>750321000</v>
          </cell>
          <cell r="R98">
            <v>750321000</v>
          </cell>
          <cell r="S98">
            <v>0</v>
          </cell>
          <cell r="U98">
            <v>4679000</v>
          </cell>
          <cell r="V98">
            <v>750321000</v>
          </cell>
          <cell r="W98">
            <v>0</v>
          </cell>
          <cell r="X98">
            <v>2000321000</v>
          </cell>
        </row>
        <row r="99">
          <cell r="B99" t="str">
            <v> Khu Trung tâm mua sắm Phú Mỹ ( đường giao thông từ đường Nguyễn Sinh Sắc đến đường Võ Phát)</v>
          </cell>
          <cell r="C99" t="str">
            <v>KBNN SĐ</v>
          </cell>
          <cell r="D99">
            <v>7567689</v>
          </cell>
          <cell r="E99">
            <v>5174481000</v>
          </cell>
          <cell r="F99">
            <v>2288929000</v>
          </cell>
          <cell r="G99">
            <v>672667000</v>
          </cell>
          <cell r="I99">
            <v>672667000</v>
          </cell>
          <cell r="P99">
            <v>2113000000</v>
          </cell>
          <cell r="Q99">
            <v>2112569000</v>
          </cell>
          <cell r="R99">
            <v>2112569000</v>
          </cell>
          <cell r="S99">
            <v>0</v>
          </cell>
          <cell r="U99">
            <v>431000</v>
          </cell>
          <cell r="V99">
            <v>2785236000</v>
          </cell>
          <cell r="W99">
            <v>0</v>
          </cell>
          <cell r="X99">
            <v>4401498000</v>
          </cell>
        </row>
        <row r="100">
          <cell r="B100" t="str">
            <v>Cải tạo sửa chữa chợ Sa Đéc</v>
          </cell>
          <cell r="C100" t="str">
            <v>KBNN SĐ</v>
          </cell>
          <cell r="D100">
            <v>7588370</v>
          </cell>
          <cell r="E100">
            <v>784618000</v>
          </cell>
          <cell r="F100">
            <v>30110000</v>
          </cell>
          <cell r="P100">
            <v>681000000</v>
          </cell>
          <cell r="Q100">
            <v>647655000</v>
          </cell>
          <cell r="R100">
            <v>647655000</v>
          </cell>
          <cell r="S100">
            <v>0</v>
          </cell>
          <cell r="U100">
            <v>33345000</v>
          </cell>
          <cell r="V100">
            <v>647655000</v>
          </cell>
          <cell r="W100">
            <v>0</v>
          </cell>
          <cell r="X100">
            <v>677765000</v>
          </cell>
        </row>
        <row r="101">
          <cell r="B101" t="str">
            <v>Bãi đỗ xe làng hoa </v>
          </cell>
          <cell r="C101" t="str">
            <v>KBNN SĐ</v>
          </cell>
          <cell r="D101">
            <v>7589654</v>
          </cell>
          <cell r="E101">
            <v>4557782000</v>
          </cell>
          <cell r="F101">
            <v>58024000</v>
          </cell>
          <cell r="P101">
            <v>4240000000</v>
          </cell>
          <cell r="Q101">
            <v>4161982000</v>
          </cell>
          <cell r="R101">
            <v>4161982000</v>
          </cell>
          <cell r="S101">
            <v>0</v>
          </cell>
          <cell r="U101">
            <v>78018000</v>
          </cell>
          <cell r="V101">
            <v>4161982000</v>
          </cell>
          <cell r="W101">
            <v>0</v>
          </cell>
          <cell r="X101">
            <v>4220006000</v>
          </cell>
        </row>
        <row r="102">
          <cell r="B102" t="str">
            <v>Hội trường Thành phố Sa Đéc</v>
          </cell>
          <cell r="C102" t="str">
            <v>KBNN SĐ</v>
          </cell>
          <cell r="D102">
            <v>7618070</v>
          </cell>
          <cell r="E102">
            <v>13987713000</v>
          </cell>
          <cell r="P102">
            <v>3000000000</v>
          </cell>
          <cell r="Q102">
            <v>2999115000</v>
          </cell>
          <cell r="R102">
            <v>630039000</v>
          </cell>
          <cell r="S102">
            <v>2369076000</v>
          </cell>
          <cell r="U102">
            <v>885000</v>
          </cell>
          <cell r="V102">
            <v>630039000</v>
          </cell>
          <cell r="W102">
            <v>2369076000</v>
          </cell>
          <cell r="X102">
            <v>2999115000</v>
          </cell>
        </row>
        <row r="103">
          <cell r="B103" t="str">
            <v>* Nguồn vốn vay</v>
          </cell>
          <cell r="E103">
            <v>2578281000</v>
          </cell>
          <cell r="F103">
            <v>0</v>
          </cell>
          <cell r="G103">
            <v>0</v>
          </cell>
          <cell r="H103">
            <v>0</v>
          </cell>
          <cell r="I103">
            <v>0</v>
          </cell>
          <cell r="J103">
            <v>0</v>
          </cell>
          <cell r="K103">
            <v>0</v>
          </cell>
          <cell r="L103">
            <v>0</v>
          </cell>
          <cell r="M103">
            <v>0</v>
          </cell>
          <cell r="N103">
            <v>0</v>
          </cell>
          <cell r="O103">
            <v>0</v>
          </cell>
          <cell r="P103">
            <v>909000000</v>
          </cell>
          <cell r="Q103">
            <v>909000000</v>
          </cell>
          <cell r="R103">
            <v>909000000</v>
          </cell>
          <cell r="S103">
            <v>0</v>
          </cell>
          <cell r="T103">
            <v>0</v>
          </cell>
          <cell r="U103">
            <v>0</v>
          </cell>
          <cell r="V103">
            <v>909000000</v>
          </cell>
          <cell r="W103">
            <v>0</v>
          </cell>
          <cell r="X103">
            <v>909000000</v>
          </cell>
        </row>
        <row r="104">
          <cell r="B104" t="str">
            <v>Vốn thực hiện đầu tư</v>
          </cell>
          <cell r="E104">
            <v>2578281000</v>
          </cell>
          <cell r="F104">
            <v>0</v>
          </cell>
          <cell r="G104">
            <v>0</v>
          </cell>
          <cell r="H104">
            <v>0</v>
          </cell>
          <cell r="I104">
            <v>0</v>
          </cell>
          <cell r="J104">
            <v>0</v>
          </cell>
          <cell r="K104">
            <v>0</v>
          </cell>
          <cell r="L104">
            <v>0</v>
          </cell>
          <cell r="M104">
            <v>0</v>
          </cell>
          <cell r="N104">
            <v>0</v>
          </cell>
          <cell r="O104">
            <v>0</v>
          </cell>
          <cell r="P104">
            <v>909000000</v>
          </cell>
          <cell r="Q104">
            <v>909000000</v>
          </cell>
          <cell r="R104">
            <v>909000000</v>
          </cell>
          <cell r="S104">
            <v>0</v>
          </cell>
          <cell r="T104">
            <v>0</v>
          </cell>
          <cell r="U104">
            <v>0</v>
          </cell>
          <cell r="V104">
            <v>909000000</v>
          </cell>
          <cell r="W104">
            <v>0</v>
          </cell>
          <cell r="X104">
            <v>909000000</v>
          </cell>
        </row>
        <row r="105">
          <cell r="B105" t="str">
            <v>Đường Cao Mên dưới (đoạn từ cầu Ba Dớn - chùa Linh Nguyên</v>
          </cell>
          <cell r="C105" t="str">
            <v>KBNN SĐ</v>
          </cell>
          <cell r="D105">
            <v>7541990</v>
          </cell>
          <cell r="E105">
            <v>2578281000</v>
          </cell>
          <cell r="P105">
            <v>909000000</v>
          </cell>
          <cell r="Q105">
            <v>909000000</v>
          </cell>
          <cell r="R105">
            <v>909000000</v>
          </cell>
          <cell r="S105">
            <v>0</v>
          </cell>
          <cell r="U105">
            <v>0</v>
          </cell>
          <cell r="V105">
            <v>909000000</v>
          </cell>
          <cell r="W105">
            <v>0</v>
          </cell>
          <cell r="X105">
            <v>909000000</v>
          </cell>
        </row>
        <row r="106">
          <cell r="B106" t="str">
            <v>* Nguồn vốn tỉnh, trung ương hỗ trợ</v>
          </cell>
          <cell r="E106">
            <v>99779852000</v>
          </cell>
          <cell r="F106">
            <v>66213773000</v>
          </cell>
          <cell r="G106">
            <v>1326915000</v>
          </cell>
          <cell r="H106">
            <v>0</v>
          </cell>
          <cell r="I106">
            <v>765550000</v>
          </cell>
          <cell r="J106">
            <v>0</v>
          </cell>
          <cell r="K106">
            <v>0</v>
          </cell>
          <cell r="L106">
            <v>0</v>
          </cell>
          <cell r="M106">
            <v>0</v>
          </cell>
          <cell r="N106">
            <v>0</v>
          </cell>
          <cell r="O106">
            <v>0</v>
          </cell>
          <cell r="P106">
            <v>14938000000</v>
          </cell>
          <cell r="Q106">
            <v>12375460000</v>
          </cell>
          <cell r="R106">
            <v>11672179000</v>
          </cell>
          <cell r="S106">
            <v>703281000</v>
          </cell>
          <cell r="T106">
            <v>0</v>
          </cell>
          <cell r="U106">
            <v>2562540000</v>
          </cell>
          <cell r="V106">
            <v>12437729000</v>
          </cell>
          <cell r="W106">
            <v>1264646000</v>
          </cell>
          <cell r="X106">
            <v>78589233000</v>
          </cell>
        </row>
        <row r="107">
          <cell r="B107" t="str">
            <v>Vốn thực hiện đầu tư</v>
          </cell>
          <cell r="E107">
            <v>99779852000</v>
          </cell>
          <cell r="F107">
            <v>66213773000</v>
          </cell>
          <cell r="G107">
            <v>1326915000</v>
          </cell>
          <cell r="H107">
            <v>0</v>
          </cell>
          <cell r="I107">
            <v>765550000</v>
          </cell>
          <cell r="J107">
            <v>0</v>
          </cell>
          <cell r="K107">
            <v>0</v>
          </cell>
          <cell r="L107">
            <v>0</v>
          </cell>
          <cell r="M107">
            <v>0</v>
          </cell>
          <cell r="N107">
            <v>0</v>
          </cell>
          <cell r="O107">
            <v>0</v>
          </cell>
          <cell r="P107">
            <v>14938000000</v>
          </cell>
          <cell r="Q107">
            <v>12375460000</v>
          </cell>
          <cell r="R107">
            <v>11672179000</v>
          </cell>
          <cell r="S107">
            <v>703281000</v>
          </cell>
          <cell r="T107">
            <v>0</v>
          </cell>
          <cell r="U107">
            <v>2562540000</v>
          </cell>
          <cell r="V107">
            <v>12437729000</v>
          </cell>
          <cell r="W107">
            <v>1264646000</v>
          </cell>
          <cell r="X107">
            <v>78589233000</v>
          </cell>
        </row>
        <row r="108">
          <cell r="B108" t="str">
            <v>Đường Xếp Mương Đào</v>
          </cell>
          <cell r="C108" t="str">
            <v>KBNN SĐ</v>
          </cell>
          <cell r="D108">
            <v>7545080</v>
          </cell>
          <cell r="E108">
            <v>7445411000</v>
          </cell>
          <cell r="P108">
            <v>2700000000</v>
          </cell>
          <cell r="Q108">
            <v>2403789000</v>
          </cell>
          <cell r="R108">
            <v>1771320000</v>
          </cell>
          <cell r="S108">
            <v>632469000</v>
          </cell>
          <cell r="U108">
            <v>296211000</v>
          </cell>
          <cell r="V108">
            <v>1771320000</v>
          </cell>
          <cell r="W108">
            <v>632469000</v>
          </cell>
          <cell r="X108">
            <v>2403789000</v>
          </cell>
        </row>
        <row r="109">
          <cell r="B109" t="str">
            <v>Hạ tầng phát triển du lịch thành phố Sa Đéc </v>
          </cell>
          <cell r="C109" t="str">
            <v>KBNN SĐ</v>
          </cell>
          <cell r="D109">
            <v>7563027</v>
          </cell>
          <cell r="E109">
            <v>30021238000</v>
          </cell>
          <cell r="F109">
            <v>10500000000</v>
          </cell>
          <cell r="G109">
            <v>1326915000</v>
          </cell>
          <cell r="I109">
            <v>765550000</v>
          </cell>
          <cell r="P109">
            <v>8000000000</v>
          </cell>
          <cell r="Q109">
            <v>5737526000</v>
          </cell>
          <cell r="R109">
            <v>5706714000</v>
          </cell>
          <cell r="S109">
            <v>30812000</v>
          </cell>
          <cell r="U109">
            <v>2262474000</v>
          </cell>
          <cell r="V109">
            <v>6472264000</v>
          </cell>
          <cell r="W109">
            <v>592177000</v>
          </cell>
          <cell r="X109">
            <v>16237526000</v>
          </cell>
        </row>
        <row r="110">
          <cell r="B110" t="str">
            <v>Trụ sở UBND phường 4</v>
          </cell>
          <cell r="C110" t="str">
            <v>KBNN SĐ</v>
          </cell>
          <cell r="D110">
            <v>7580550</v>
          </cell>
          <cell r="E110">
            <v>4985231000</v>
          </cell>
          <cell r="F110">
            <v>322718000</v>
          </cell>
          <cell r="P110">
            <v>3077000000</v>
          </cell>
          <cell r="Q110">
            <v>3073436000</v>
          </cell>
          <cell r="R110">
            <v>3033436000</v>
          </cell>
          <cell r="S110">
            <v>40000000</v>
          </cell>
          <cell r="U110">
            <v>3564000</v>
          </cell>
          <cell r="V110">
            <v>3033436000</v>
          </cell>
          <cell r="W110">
            <v>40000000</v>
          </cell>
          <cell r="X110">
            <v>3396154000</v>
          </cell>
        </row>
        <row r="111">
          <cell r="B111" t="str">
            <v>Đường Nguyễn Sinh Sắc </v>
          </cell>
          <cell r="C111" t="str">
            <v>KBNN SĐ</v>
          </cell>
          <cell r="D111">
            <v>7003689</v>
          </cell>
          <cell r="E111">
            <v>57327972000</v>
          </cell>
          <cell r="F111">
            <v>55391055000</v>
          </cell>
          <cell r="P111">
            <v>1161000000</v>
          </cell>
          <cell r="Q111">
            <v>1160709000</v>
          </cell>
          <cell r="R111">
            <v>1160709000</v>
          </cell>
          <cell r="S111">
            <v>0</v>
          </cell>
          <cell r="U111">
            <v>291000</v>
          </cell>
          <cell r="V111">
            <v>1160709000</v>
          </cell>
          <cell r="W111">
            <v>0</v>
          </cell>
          <cell r="X111">
            <v>56551764000</v>
          </cell>
        </row>
        <row r="112">
          <cell r="A112" t="str">
            <v>(3)</v>
          </cell>
          <cell r="B112" t="str">
            <v>Cấp xã quản lý</v>
          </cell>
          <cell r="E112">
            <v>10572043000</v>
          </cell>
          <cell r="F112">
            <v>0</v>
          </cell>
          <cell r="G112">
            <v>0</v>
          </cell>
          <cell r="H112">
            <v>0</v>
          </cell>
          <cell r="I112">
            <v>0</v>
          </cell>
          <cell r="J112">
            <v>0</v>
          </cell>
          <cell r="K112">
            <v>0</v>
          </cell>
          <cell r="L112">
            <v>0</v>
          </cell>
          <cell r="M112">
            <v>0</v>
          </cell>
          <cell r="N112">
            <v>0</v>
          </cell>
          <cell r="O112">
            <v>0</v>
          </cell>
          <cell r="P112">
            <v>9084572000</v>
          </cell>
          <cell r="Q112">
            <v>7538025000</v>
          </cell>
          <cell r="R112">
            <v>7496912000</v>
          </cell>
          <cell r="S112">
            <v>41113000</v>
          </cell>
          <cell r="T112">
            <v>0</v>
          </cell>
          <cell r="U112">
            <v>1546547000</v>
          </cell>
          <cell r="V112">
            <v>7496912000</v>
          </cell>
          <cell r="W112">
            <v>41113000</v>
          </cell>
          <cell r="X112">
            <v>7538025000</v>
          </cell>
        </row>
        <row r="113">
          <cell r="B113" t="str">
            <v>Nguồn vốn XDCB  phường 1</v>
          </cell>
          <cell r="E113">
            <v>713732000</v>
          </cell>
          <cell r="F113">
            <v>0</v>
          </cell>
          <cell r="G113">
            <v>0</v>
          </cell>
          <cell r="H113">
            <v>0</v>
          </cell>
          <cell r="I113">
            <v>0</v>
          </cell>
          <cell r="J113">
            <v>0</v>
          </cell>
          <cell r="K113">
            <v>0</v>
          </cell>
          <cell r="L113">
            <v>0</v>
          </cell>
          <cell r="M113">
            <v>0</v>
          </cell>
          <cell r="N113">
            <v>0</v>
          </cell>
          <cell r="O113">
            <v>0</v>
          </cell>
          <cell r="P113">
            <v>713732000</v>
          </cell>
          <cell r="Q113">
            <v>587685000</v>
          </cell>
          <cell r="R113">
            <v>587685000</v>
          </cell>
          <cell r="S113">
            <v>0</v>
          </cell>
          <cell r="T113">
            <v>0</v>
          </cell>
          <cell r="U113">
            <v>126047000</v>
          </cell>
          <cell r="V113">
            <v>587685000</v>
          </cell>
          <cell r="W113">
            <v>0</v>
          </cell>
          <cell r="X113">
            <v>587685000</v>
          </cell>
        </row>
        <row r="114">
          <cell r="B114" t="str">
            <v>Hẽm 195 Lý Thường Kiệt, K4, P1</v>
          </cell>
          <cell r="C114" t="str">
            <v>KBNN SĐ</v>
          </cell>
          <cell r="D114">
            <v>7179583</v>
          </cell>
          <cell r="E114">
            <v>452509000</v>
          </cell>
          <cell r="P114">
            <v>452509000</v>
          </cell>
          <cell r="Q114">
            <v>358281000</v>
          </cell>
          <cell r="R114">
            <v>358281000</v>
          </cell>
          <cell r="S114">
            <v>0</v>
          </cell>
          <cell r="U114">
            <v>94228000</v>
          </cell>
          <cell r="V114">
            <v>358281000</v>
          </cell>
          <cell r="W114">
            <v>0</v>
          </cell>
          <cell r="X114">
            <v>358281000</v>
          </cell>
        </row>
        <row r="115">
          <cell r="B115" t="str">
            <v>Sửa chữa, cải tạo trụ sở P1</v>
          </cell>
          <cell r="C115" t="str">
            <v>KBNN SĐ</v>
          </cell>
          <cell r="D115">
            <v>7179583</v>
          </cell>
          <cell r="E115">
            <v>261223000</v>
          </cell>
          <cell r="P115">
            <v>261223000</v>
          </cell>
          <cell r="Q115">
            <v>229404000</v>
          </cell>
          <cell r="R115">
            <v>229404000</v>
          </cell>
          <cell r="S115">
            <v>0</v>
          </cell>
          <cell r="U115">
            <v>31819000</v>
          </cell>
          <cell r="V115">
            <v>229404000</v>
          </cell>
          <cell r="W115">
            <v>0</v>
          </cell>
          <cell r="X115">
            <v>229404000</v>
          </cell>
        </row>
        <row r="116">
          <cell r="B116" t="str">
            <v>Nguồn vốn XDCB  phường 2</v>
          </cell>
          <cell r="E116">
            <v>2432732000</v>
          </cell>
          <cell r="F116">
            <v>0</v>
          </cell>
          <cell r="G116">
            <v>0</v>
          </cell>
          <cell r="H116">
            <v>0</v>
          </cell>
          <cell r="I116">
            <v>0</v>
          </cell>
          <cell r="J116">
            <v>0</v>
          </cell>
          <cell r="K116">
            <v>0</v>
          </cell>
          <cell r="L116">
            <v>0</v>
          </cell>
          <cell r="M116">
            <v>0</v>
          </cell>
          <cell r="N116">
            <v>0</v>
          </cell>
          <cell r="O116">
            <v>0</v>
          </cell>
          <cell r="P116">
            <v>2419911000</v>
          </cell>
          <cell r="Q116">
            <v>1959912000</v>
          </cell>
          <cell r="R116">
            <v>1921521000</v>
          </cell>
          <cell r="S116">
            <v>38391000</v>
          </cell>
          <cell r="T116">
            <v>0</v>
          </cell>
          <cell r="U116">
            <v>459999000</v>
          </cell>
          <cell r="V116">
            <v>1921521000</v>
          </cell>
          <cell r="W116">
            <v>38391000</v>
          </cell>
          <cell r="X116">
            <v>1959912000</v>
          </cell>
        </row>
        <row r="117">
          <cell r="B117" t="str">
            <v>Khu quy hoạch văn hóa thể thao P2 </v>
          </cell>
          <cell r="C117" t="str">
            <v>KBNN SĐ</v>
          </cell>
          <cell r="D117">
            <v>7239603</v>
          </cell>
          <cell r="E117">
            <v>125714000</v>
          </cell>
          <cell r="P117">
            <v>125714000</v>
          </cell>
          <cell r="Q117">
            <v>109777000</v>
          </cell>
          <cell r="R117">
            <v>107502000</v>
          </cell>
          <cell r="S117">
            <v>2275000</v>
          </cell>
          <cell r="U117">
            <v>15937000</v>
          </cell>
          <cell r="V117">
            <v>107502000</v>
          </cell>
          <cell r="W117">
            <v>2275000</v>
          </cell>
          <cell r="X117">
            <v>109777000</v>
          </cell>
        </row>
        <row r="118">
          <cell r="B118" t="str">
            <v>Hẻm số 1 phía sau trường Mầm Non Hoa Sen</v>
          </cell>
          <cell r="C118" t="str">
            <v>KBNN SĐ</v>
          </cell>
          <cell r="D118">
            <v>7239603</v>
          </cell>
          <cell r="E118">
            <v>138485000</v>
          </cell>
          <cell r="P118">
            <v>138485000</v>
          </cell>
          <cell r="Q118">
            <v>100977000</v>
          </cell>
          <cell r="R118">
            <v>99282000</v>
          </cell>
          <cell r="S118">
            <v>1695000</v>
          </cell>
          <cell r="U118">
            <v>37508000</v>
          </cell>
          <cell r="V118">
            <v>99282000</v>
          </cell>
          <cell r="W118">
            <v>1695000</v>
          </cell>
          <cell r="X118">
            <v>100977000</v>
          </cell>
        </row>
        <row r="119">
          <cell r="B119" t="str">
            <v>Hẻm 51 Nguyễn Huệ</v>
          </cell>
          <cell r="C119" t="str">
            <v>KBNN SĐ</v>
          </cell>
          <cell r="D119">
            <v>7239603</v>
          </cell>
          <cell r="E119">
            <v>101428000</v>
          </cell>
          <cell r="P119">
            <v>101428000</v>
          </cell>
          <cell r="Q119">
            <v>76477000</v>
          </cell>
          <cell r="R119">
            <v>75163000</v>
          </cell>
          <cell r="S119">
            <v>1314000</v>
          </cell>
          <cell r="U119">
            <v>24951000</v>
          </cell>
          <cell r="V119">
            <v>75163000</v>
          </cell>
          <cell r="W119">
            <v>1314000</v>
          </cell>
          <cell r="X119">
            <v>76477000</v>
          </cell>
        </row>
        <row r="120">
          <cell r="B120" t="str">
            <v>Hẻm 87B đường Lê Duẩn</v>
          </cell>
          <cell r="C120" t="str">
            <v>KBNN SĐ</v>
          </cell>
          <cell r="D120">
            <v>7239603</v>
          </cell>
          <cell r="E120">
            <v>161837000</v>
          </cell>
          <cell r="P120">
            <v>154660000</v>
          </cell>
          <cell r="Q120">
            <v>113105000</v>
          </cell>
          <cell r="R120">
            <v>111175000</v>
          </cell>
          <cell r="S120">
            <v>1930000</v>
          </cell>
          <cell r="U120">
            <v>41555000</v>
          </cell>
          <cell r="V120">
            <v>111175000</v>
          </cell>
          <cell r="W120">
            <v>1930000</v>
          </cell>
          <cell r="X120">
            <v>113105000</v>
          </cell>
        </row>
        <row r="121">
          <cell r="B121" t="str">
            <v>Hẻm 35 đường Nguyễn Huệ</v>
          </cell>
          <cell r="C121" t="str">
            <v>KBNN SĐ</v>
          </cell>
          <cell r="D121">
            <v>7239603</v>
          </cell>
          <cell r="E121">
            <v>231443000</v>
          </cell>
          <cell r="P121">
            <v>231443000</v>
          </cell>
          <cell r="Q121">
            <v>178522000</v>
          </cell>
          <cell r="R121">
            <v>175243000</v>
          </cell>
          <cell r="S121">
            <v>3279000</v>
          </cell>
          <cell r="U121">
            <v>52921000</v>
          </cell>
          <cell r="V121">
            <v>175243000</v>
          </cell>
          <cell r="W121">
            <v>3279000</v>
          </cell>
          <cell r="X121">
            <v>178522000</v>
          </cell>
        </row>
        <row r="122">
          <cell r="B122" t="str">
            <v>Hẻm 188 đường Nguyến Sinh Sắc</v>
          </cell>
          <cell r="C122" t="str">
            <v>KBNN SĐ</v>
          </cell>
          <cell r="D122">
            <v>7239603</v>
          </cell>
          <cell r="E122">
            <v>212508000</v>
          </cell>
          <cell r="P122">
            <v>212508000</v>
          </cell>
          <cell r="Q122">
            <v>135773000</v>
          </cell>
          <cell r="R122">
            <v>133269000</v>
          </cell>
          <cell r="S122">
            <v>2504000</v>
          </cell>
          <cell r="U122">
            <v>76735000</v>
          </cell>
          <cell r="V122">
            <v>133269000</v>
          </cell>
          <cell r="W122">
            <v>2504000</v>
          </cell>
          <cell r="X122">
            <v>135773000</v>
          </cell>
        </row>
        <row r="123">
          <cell r="B123" t="str">
            <v>Trụ sở Công an phường 2</v>
          </cell>
          <cell r="C123" t="str">
            <v>KBNN SĐ</v>
          </cell>
          <cell r="D123">
            <v>7239603</v>
          </cell>
          <cell r="E123">
            <v>437971000</v>
          </cell>
          <cell r="P123">
            <v>437971000</v>
          </cell>
          <cell r="Q123">
            <v>384679000</v>
          </cell>
          <cell r="R123">
            <v>376637000</v>
          </cell>
          <cell r="S123">
            <v>8042000</v>
          </cell>
          <cell r="U123">
            <v>53292000</v>
          </cell>
          <cell r="V123">
            <v>376637000</v>
          </cell>
          <cell r="W123">
            <v>8042000</v>
          </cell>
          <cell r="X123">
            <v>384679000</v>
          </cell>
        </row>
        <row r="124">
          <cell r="B124" t="str">
            <v>Hẻm 92 đường Quốc lộ 80</v>
          </cell>
          <cell r="C124" t="str">
            <v>KBNN SĐ</v>
          </cell>
          <cell r="D124">
            <v>7239603</v>
          </cell>
          <cell r="E124">
            <v>266567000</v>
          </cell>
          <cell r="P124">
            <v>266567000</v>
          </cell>
          <cell r="Q124">
            <v>212170000</v>
          </cell>
          <cell r="R124">
            <v>208268000</v>
          </cell>
          <cell r="S124">
            <v>3902000</v>
          </cell>
          <cell r="U124">
            <v>54397000</v>
          </cell>
          <cell r="V124">
            <v>208268000</v>
          </cell>
          <cell r="W124">
            <v>3902000</v>
          </cell>
          <cell r="X124">
            <v>212170000</v>
          </cell>
        </row>
        <row r="125">
          <cell r="B125" t="str">
            <v>Khu di tích Xóm Rẫy Cụ Hồ</v>
          </cell>
          <cell r="C125" t="str">
            <v>KBNN SĐ</v>
          </cell>
          <cell r="D125">
            <v>7239603</v>
          </cell>
          <cell r="E125">
            <v>355562000</v>
          </cell>
          <cell r="P125">
            <v>349918000</v>
          </cell>
          <cell r="Q125">
            <v>301439000</v>
          </cell>
          <cell r="R125">
            <v>295189000</v>
          </cell>
          <cell r="S125">
            <v>6250000</v>
          </cell>
          <cell r="U125">
            <v>48479000</v>
          </cell>
          <cell r="V125">
            <v>295189000</v>
          </cell>
          <cell r="W125">
            <v>6250000</v>
          </cell>
          <cell r="X125">
            <v>301439000</v>
          </cell>
        </row>
        <row r="126">
          <cell r="B126" t="str">
            <v>Trụ sở làm việc UBND Phường 2</v>
          </cell>
          <cell r="C126" t="str">
            <v>KBNN SĐ</v>
          </cell>
          <cell r="D126">
            <v>7239603</v>
          </cell>
          <cell r="E126">
            <v>401217000</v>
          </cell>
          <cell r="P126">
            <v>401217000</v>
          </cell>
          <cell r="Q126">
            <v>346993000</v>
          </cell>
          <cell r="R126">
            <v>339793000</v>
          </cell>
          <cell r="S126">
            <v>7200000</v>
          </cell>
          <cell r="U126">
            <v>54224000</v>
          </cell>
          <cell r="V126">
            <v>339793000</v>
          </cell>
          <cell r="W126">
            <v>7200000</v>
          </cell>
          <cell r="X126">
            <v>346993000</v>
          </cell>
        </row>
        <row r="127">
          <cell r="B127" t="str">
            <v>Nguồn vốn XDCB  phường 3</v>
          </cell>
          <cell r="E127">
            <v>374404000</v>
          </cell>
          <cell r="F127">
            <v>0</v>
          </cell>
          <cell r="G127">
            <v>0</v>
          </cell>
          <cell r="H127">
            <v>0</v>
          </cell>
          <cell r="I127">
            <v>0</v>
          </cell>
          <cell r="J127">
            <v>0</v>
          </cell>
          <cell r="K127">
            <v>0</v>
          </cell>
          <cell r="L127">
            <v>0</v>
          </cell>
          <cell r="M127">
            <v>0</v>
          </cell>
          <cell r="N127">
            <v>0</v>
          </cell>
          <cell r="O127">
            <v>0</v>
          </cell>
          <cell r="P127">
            <v>374404000</v>
          </cell>
          <cell r="Q127">
            <v>301342000</v>
          </cell>
          <cell r="R127">
            <v>301342000</v>
          </cell>
          <cell r="S127">
            <v>0</v>
          </cell>
          <cell r="T127">
            <v>0</v>
          </cell>
          <cell r="U127">
            <v>73062000</v>
          </cell>
          <cell r="V127">
            <v>301342000</v>
          </cell>
          <cell r="W127">
            <v>0</v>
          </cell>
          <cell r="X127">
            <v>301342000</v>
          </cell>
        </row>
        <row r="128">
          <cell r="B128" t="str">
            <v>Hẻm 102 Lê Lợi</v>
          </cell>
          <cell r="C128" t="str">
            <v>KBNN SĐ</v>
          </cell>
          <cell r="D128">
            <v>7239601</v>
          </cell>
          <cell r="E128">
            <v>374404000</v>
          </cell>
          <cell r="P128">
            <v>374404000</v>
          </cell>
          <cell r="Q128">
            <v>301342000</v>
          </cell>
          <cell r="R128">
            <v>301342000</v>
          </cell>
          <cell r="S128">
            <v>0</v>
          </cell>
          <cell r="U128">
            <v>73062000</v>
          </cell>
          <cell r="V128">
            <v>301342000</v>
          </cell>
          <cell r="W128">
            <v>0</v>
          </cell>
          <cell r="X128">
            <v>301342000</v>
          </cell>
        </row>
        <row r="129">
          <cell r="B129" t="str">
            <v>Nguồn vốn XDCB  phường 4</v>
          </cell>
          <cell r="E129">
            <v>353321000</v>
          </cell>
          <cell r="F129">
            <v>0</v>
          </cell>
          <cell r="G129">
            <v>0</v>
          </cell>
          <cell r="H129">
            <v>0</v>
          </cell>
          <cell r="I129">
            <v>0</v>
          </cell>
          <cell r="J129">
            <v>0</v>
          </cell>
          <cell r="K129">
            <v>0</v>
          </cell>
          <cell r="L129">
            <v>0</v>
          </cell>
          <cell r="M129">
            <v>0</v>
          </cell>
          <cell r="N129">
            <v>0</v>
          </cell>
          <cell r="O129">
            <v>0</v>
          </cell>
          <cell r="P129">
            <v>375434000</v>
          </cell>
          <cell r="Q129">
            <v>352655000</v>
          </cell>
          <cell r="R129">
            <v>349933000</v>
          </cell>
          <cell r="S129">
            <v>2722000</v>
          </cell>
          <cell r="T129">
            <v>0</v>
          </cell>
          <cell r="U129">
            <v>22779000</v>
          </cell>
          <cell r="V129">
            <v>349933000</v>
          </cell>
          <cell r="W129">
            <v>2722000</v>
          </cell>
          <cell r="X129">
            <v>352655000</v>
          </cell>
        </row>
        <row r="130">
          <cell r="B130" t="str">
            <v>Trụ sở UBND Phường 4</v>
          </cell>
          <cell r="C130" t="str">
            <v>KBNN SĐ</v>
          </cell>
          <cell r="D130">
            <v>7231295</v>
          </cell>
          <cell r="E130">
            <v>45484000</v>
          </cell>
          <cell r="P130">
            <v>46000000</v>
          </cell>
          <cell r="Q130">
            <v>45484000</v>
          </cell>
          <cell r="R130">
            <v>45484000</v>
          </cell>
          <cell r="S130">
            <v>0</v>
          </cell>
          <cell r="U130">
            <v>516000</v>
          </cell>
          <cell r="V130">
            <v>45484000</v>
          </cell>
          <cell r="W130">
            <v>0</v>
          </cell>
          <cell r="X130">
            <v>45484000</v>
          </cell>
        </row>
        <row r="131">
          <cell r="B131" t="str">
            <v>Trụ sở Công an phường 4 (Cải tạo, sữa chữa)</v>
          </cell>
          <cell r="C131" t="str">
            <v>KBNN SĐ</v>
          </cell>
          <cell r="D131">
            <v>7231295</v>
          </cell>
          <cell r="E131">
            <v>24724000</v>
          </cell>
          <cell r="P131">
            <v>25000000</v>
          </cell>
          <cell r="Q131">
            <v>24724000</v>
          </cell>
          <cell r="R131">
            <v>24724000</v>
          </cell>
          <cell r="S131">
            <v>0</v>
          </cell>
          <cell r="U131">
            <v>276000</v>
          </cell>
          <cell r="V131">
            <v>24724000</v>
          </cell>
          <cell r="W131">
            <v>0</v>
          </cell>
          <cell r="X131">
            <v>24724000</v>
          </cell>
        </row>
        <row r="132">
          <cell r="B132" t="str">
            <v>Cống cặp cầu Cái Đôi (lề phải)</v>
          </cell>
          <cell r="C132" t="str">
            <v>KBNN SĐ</v>
          </cell>
          <cell r="D132">
            <v>7231295</v>
          </cell>
          <cell r="E132">
            <v>39941000</v>
          </cell>
          <cell r="P132">
            <v>40000000</v>
          </cell>
          <cell r="Q132">
            <v>39941000</v>
          </cell>
          <cell r="R132">
            <v>39941000</v>
          </cell>
          <cell r="S132">
            <v>0</v>
          </cell>
          <cell r="U132">
            <v>59000</v>
          </cell>
          <cell r="V132">
            <v>39941000</v>
          </cell>
          <cell r="W132">
            <v>0</v>
          </cell>
          <cell r="X132">
            <v>39941000</v>
          </cell>
        </row>
        <row r="133">
          <cell r="B133" t="str">
            <v>Hẻm 1 - 1A</v>
          </cell>
          <cell r="C133" t="str">
            <v>KBNN SĐ</v>
          </cell>
          <cell r="D133">
            <v>7231295</v>
          </cell>
          <cell r="E133">
            <v>161434000</v>
          </cell>
          <cell r="P133">
            <v>161434000</v>
          </cell>
          <cell r="Q133">
            <v>160768000</v>
          </cell>
          <cell r="R133">
            <v>158046000</v>
          </cell>
          <cell r="S133">
            <v>2722000</v>
          </cell>
          <cell r="U133">
            <v>666000</v>
          </cell>
          <cell r="V133">
            <v>158046000</v>
          </cell>
          <cell r="W133">
            <v>2722000</v>
          </cell>
          <cell r="X133">
            <v>160768000</v>
          </cell>
        </row>
        <row r="134">
          <cell r="B134" t="str">
            <v>Trụ sở UBND phường 4 (Lắp đặt camera an ninh)</v>
          </cell>
          <cell r="C134" t="str">
            <v>KBNN SĐ</v>
          </cell>
          <cell r="D134">
            <v>7231295</v>
          </cell>
          <cell r="E134">
            <v>19596000</v>
          </cell>
          <cell r="P134">
            <v>40000000</v>
          </cell>
          <cell r="Q134">
            <v>19596000</v>
          </cell>
          <cell r="R134">
            <v>19596000</v>
          </cell>
          <cell r="S134">
            <v>0</v>
          </cell>
          <cell r="U134">
            <v>20404000</v>
          </cell>
          <cell r="V134">
            <v>19596000</v>
          </cell>
          <cell r="W134">
            <v>0</v>
          </cell>
          <cell r="X134">
            <v>19596000</v>
          </cell>
        </row>
        <row r="135">
          <cell r="B135" t="str">
            <v>Hẽm 10D, hố thu hẽm 11, nắp hố ga đường Trân Văn Voi</v>
          </cell>
          <cell r="C135" t="str">
            <v>KBNN SĐ</v>
          </cell>
          <cell r="D135">
            <v>7231295</v>
          </cell>
          <cell r="E135">
            <v>30825000</v>
          </cell>
          <cell r="P135">
            <v>31000000</v>
          </cell>
          <cell r="Q135">
            <v>30825000</v>
          </cell>
          <cell r="R135">
            <v>30825000</v>
          </cell>
          <cell r="S135">
            <v>0</v>
          </cell>
          <cell r="U135">
            <v>175000</v>
          </cell>
          <cell r="V135">
            <v>30825000</v>
          </cell>
          <cell r="W135">
            <v>0</v>
          </cell>
          <cell r="X135">
            <v>30825000</v>
          </cell>
        </row>
        <row r="136">
          <cell r="B136" t="str">
            <v>Hẽm 10B, hẽm 10C, hẽm 12B</v>
          </cell>
          <cell r="C136" t="str">
            <v>KBNN SĐ</v>
          </cell>
          <cell r="D136">
            <v>7231295</v>
          </cell>
          <cell r="E136">
            <v>31317000</v>
          </cell>
          <cell r="P136">
            <v>32000000</v>
          </cell>
          <cell r="Q136">
            <v>31317000</v>
          </cell>
          <cell r="R136">
            <v>31317000</v>
          </cell>
          <cell r="S136">
            <v>0</v>
          </cell>
          <cell r="U136">
            <v>683000</v>
          </cell>
          <cell r="V136">
            <v>31317000</v>
          </cell>
          <cell r="W136">
            <v>0</v>
          </cell>
          <cell r="X136">
            <v>31317000</v>
          </cell>
        </row>
        <row r="137">
          <cell r="B137" t="str">
            <v>Nguồn vốn XDCB xã Tân Phú Đông</v>
          </cell>
          <cell r="E137">
            <v>3122837000</v>
          </cell>
          <cell r="F137">
            <v>0</v>
          </cell>
          <cell r="G137">
            <v>0</v>
          </cell>
          <cell r="H137">
            <v>0</v>
          </cell>
          <cell r="I137">
            <v>0</v>
          </cell>
          <cell r="J137">
            <v>0</v>
          </cell>
          <cell r="K137">
            <v>0</v>
          </cell>
          <cell r="L137">
            <v>0</v>
          </cell>
          <cell r="M137">
            <v>0</v>
          </cell>
          <cell r="N137">
            <v>0</v>
          </cell>
          <cell r="O137">
            <v>0</v>
          </cell>
          <cell r="P137">
            <v>1917574000</v>
          </cell>
          <cell r="Q137">
            <v>1489151000</v>
          </cell>
          <cell r="R137">
            <v>1489151000</v>
          </cell>
          <cell r="S137">
            <v>0</v>
          </cell>
          <cell r="T137">
            <v>0</v>
          </cell>
          <cell r="U137">
            <v>428423000</v>
          </cell>
          <cell r="V137">
            <v>1489151000</v>
          </cell>
          <cell r="W137">
            <v>0</v>
          </cell>
          <cell r="X137">
            <v>1489151000</v>
          </cell>
        </row>
        <row r="138">
          <cell r="B138" t="str">
            <v>Trụ sở làm việc UBND xã Tân Phú Đông</v>
          </cell>
          <cell r="C138" t="str">
            <v>KBNN SĐ</v>
          </cell>
          <cell r="D138">
            <v>7192258</v>
          </cell>
          <cell r="E138">
            <v>353230000</v>
          </cell>
          <cell r="P138">
            <v>354626000</v>
          </cell>
          <cell r="Q138">
            <v>271851000</v>
          </cell>
          <cell r="R138">
            <v>271851000</v>
          </cell>
          <cell r="S138">
            <v>0</v>
          </cell>
          <cell r="U138">
            <v>82775000</v>
          </cell>
          <cell r="V138">
            <v>271851000</v>
          </cell>
          <cell r="W138">
            <v>0</v>
          </cell>
          <cell r="X138">
            <v>271851000</v>
          </cell>
        </row>
        <row r="139">
          <cell r="B139" t="str">
            <v>Đường Xẻo Gừa - An Hòa</v>
          </cell>
          <cell r="C139" t="str">
            <v>KBNN SĐ</v>
          </cell>
          <cell r="D139">
            <v>7192258</v>
          </cell>
          <cell r="E139">
            <v>1604582000</v>
          </cell>
          <cell r="P139">
            <v>793324000</v>
          </cell>
          <cell r="Q139">
            <v>692689000</v>
          </cell>
          <cell r="R139">
            <v>692689000</v>
          </cell>
          <cell r="S139">
            <v>0</v>
          </cell>
          <cell r="U139">
            <v>100635000</v>
          </cell>
          <cell r="V139">
            <v>692689000</v>
          </cell>
          <cell r="W139">
            <v>0</v>
          </cell>
          <cell r="X139">
            <v>692689000</v>
          </cell>
        </row>
        <row r="140">
          <cell r="B140" t="str">
            <v>Đường nhánh rẻ ngọn Thủ Điềm</v>
          </cell>
          <cell r="C140" t="str">
            <v>KBNN SĐ</v>
          </cell>
          <cell r="D140">
            <v>7192258</v>
          </cell>
          <cell r="E140">
            <v>656344000</v>
          </cell>
          <cell r="P140">
            <v>394153000</v>
          </cell>
          <cell r="Q140">
            <v>291234000</v>
          </cell>
          <cell r="R140">
            <v>291234000</v>
          </cell>
          <cell r="S140">
            <v>0</v>
          </cell>
          <cell r="U140">
            <v>102919000</v>
          </cell>
          <cell r="V140">
            <v>291234000</v>
          </cell>
          <cell r="W140">
            <v>0</v>
          </cell>
          <cell r="X140">
            <v>291234000</v>
          </cell>
        </row>
        <row r="141">
          <cell r="B141" t="str">
            <v>Đường nhánh rẻ Bà Ban</v>
          </cell>
          <cell r="C141" t="str">
            <v>KBNN SĐ</v>
          </cell>
          <cell r="D141">
            <v>7192258</v>
          </cell>
          <cell r="E141">
            <v>508681000</v>
          </cell>
          <cell r="P141">
            <v>375471000</v>
          </cell>
          <cell r="Q141">
            <v>233377000</v>
          </cell>
          <cell r="R141">
            <v>233377000</v>
          </cell>
          <cell r="S141">
            <v>0</v>
          </cell>
          <cell r="U141">
            <v>142094000</v>
          </cell>
          <cell r="V141">
            <v>233377000</v>
          </cell>
          <cell r="W141">
            <v>0</v>
          </cell>
          <cell r="X141">
            <v>233377000</v>
          </cell>
        </row>
        <row r="142">
          <cell r="B142" t="str">
            <v>Nguồn vốn XDCB xã Tân Khánh Đông</v>
          </cell>
          <cell r="E142">
            <v>547068000</v>
          </cell>
          <cell r="F142">
            <v>0</v>
          </cell>
          <cell r="G142">
            <v>0</v>
          </cell>
          <cell r="H142">
            <v>0</v>
          </cell>
          <cell r="I142">
            <v>0</v>
          </cell>
          <cell r="J142">
            <v>0</v>
          </cell>
          <cell r="K142">
            <v>0</v>
          </cell>
          <cell r="L142">
            <v>0</v>
          </cell>
          <cell r="M142">
            <v>0</v>
          </cell>
          <cell r="N142">
            <v>0</v>
          </cell>
          <cell r="O142">
            <v>0</v>
          </cell>
          <cell r="P142">
            <v>386517000</v>
          </cell>
          <cell r="Q142">
            <v>354500000</v>
          </cell>
          <cell r="R142">
            <v>354500000</v>
          </cell>
          <cell r="S142">
            <v>0</v>
          </cell>
          <cell r="T142">
            <v>0</v>
          </cell>
          <cell r="U142">
            <v>32017000</v>
          </cell>
          <cell r="V142">
            <v>354500000</v>
          </cell>
          <cell r="W142">
            <v>0</v>
          </cell>
          <cell r="X142">
            <v>354500000</v>
          </cell>
        </row>
        <row r="143">
          <cell r="B143" t="str">
            <v>Đường vào Cầu Mười Minh</v>
          </cell>
          <cell r="C143" t="str">
            <v>KBNN SĐ</v>
          </cell>
          <cell r="D143">
            <v>7192257</v>
          </cell>
          <cell r="E143">
            <v>456447000</v>
          </cell>
          <cell r="P143">
            <v>306447000</v>
          </cell>
          <cell r="Q143">
            <v>274430000</v>
          </cell>
          <cell r="R143">
            <v>274430000</v>
          </cell>
          <cell r="S143">
            <v>0</v>
          </cell>
          <cell r="U143">
            <v>32017000</v>
          </cell>
          <cell r="V143">
            <v>274430000</v>
          </cell>
          <cell r="W143">
            <v>0</v>
          </cell>
          <cell r="X143">
            <v>274430000</v>
          </cell>
        </row>
        <row r="144">
          <cell r="B144" t="str">
            <v>Cầu Cồn Cát</v>
          </cell>
          <cell r="C144" t="str">
            <v>KBNN SĐ</v>
          </cell>
          <cell r="D144">
            <v>7192257</v>
          </cell>
          <cell r="E144">
            <v>90621000</v>
          </cell>
          <cell r="P144">
            <v>80070000</v>
          </cell>
          <cell r="Q144">
            <v>80070000</v>
          </cell>
          <cell r="R144">
            <v>80070000</v>
          </cell>
          <cell r="S144">
            <v>0</v>
          </cell>
          <cell r="U144">
            <v>0</v>
          </cell>
          <cell r="V144">
            <v>80070000</v>
          </cell>
          <cell r="W144">
            <v>0</v>
          </cell>
          <cell r="X144">
            <v>80070000</v>
          </cell>
        </row>
        <row r="145">
          <cell r="B145" t="str">
            <v>Nguồn vốn XDCB xã TQT</v>
          </cell>
          <cell r="E145">
            <v>3027949000</v>
          </cell>
          <cell r="F145">
            <v>0</v>
          </cell>
          <cell r="G145">
            <v>0</v>
          </cell>
          <cell r="H145">
            <v>0</v>
          </cell>
          <cell r="I145">
            <v>0</v>
          </cell>
          <cell r="J145">
            <v>0</v>
          </cell>
          <cell r="K145">
            <v>0</v>
          </cell>
          <cell r="L145">
            <v>0</v>
          </cell>
          <cell r="M145">
            <v>0</v>
          </cell>
          <cell r="N145">
            <v>0</v>
          </cell>
          <cell r="O145">
            <v>0</v>
          </cell>
          <cell r="P145">
            <v>2897000000</v>
          </cell>
          <cell r="Q145">
            <v>2492780000</v>
          </cell>
          <cell r="R145">
            <v>2492780000</v>
          </cell>
          <cell r="S145">
            <v>0</v>
          </cell>
          <cell r="T145">
            <v>0</v>
          </cell>
          <cell r="U145">
            <v>404220000</v>
          </cell>
          <cell r="V145">
            <v>2492780000</v>
          </cell>
          <cell r="W145">
            <v>0</v>
          </cell>
          <cell r="X145">
            <v>2492780000</v>
          </cell>
        </row>
        <row r="146">
          <cell r="B146" t="str">
            <v>Khu luyện tập thể dục thể thao trung tâm xã Tân Quy Tây</v>
          </cell>
          <cell r="C146" t="str">
            <v>KBNN SĐ</v>
          </cell>
          <cell r="D146">
            <v>7223795</v>
          </cell>
          <cell r="E146">
            <v>999629000</v>
          </cell>
          <cell r="P146">
            <v>1000000000</v>
          </cell>
          <cell r="Q146">
            <v>926101000</v>
          </cell>
          <cell r="R146">
            <v>926101000</v>
          </cell>
          <cell r="S146">
            <v>0</v>
          </cell>
          <cell r="U146">
            <v>73899000</v>
          </cell>
          <cell r="V146">
            <v>926101000</v>
          </cell>
          <cell r="W146">
            <v>0</v>
          </cell>
          <cell r="X146">
            <v>926101000</v>
          </cell>
        </row>
        <row r="147">
          <cell r="B147" t="str">
            <v>Đường Phạm Hữu Nghĩa bờ phải</v>
          </cell>
          <cell r="C147" t="str">
            <v>KBNN SĐ</v>
          </cell>
          <cell r="D147">
            <v>7223795</v>
          </cell>
          <cell r="E147">
            <v>905358000</v>
          </cell>
          <cell r="P147">
            <v>1000000000</v>
          </cell>
          <cell r="Q147">
            <v>716053000</v>
          </cell>
          <cell r="R147">
            <v>716053000</v>
          </cell>
          <cell r="S147">
            <v>0</v>
          </cell>
          <cell r="U147">
            <v>283947000</v>
          </cell>
          <cell r="V147">
            <v>716053000</v>
          </cell>
          <cell r="W147">
            <v>0</v>
          </cell>
          <cell r="X147">
            <v>716053000</v>
          </cell>
        </row>
        <row r="148">
          <cell r="B148" t="str">
            <v>UBND xã Tân Quy Tây</v>
          </cell>
          <cell r="C148" t="str">
            <v>KBNN SĐ</v>
          </cell>
          <cell r="D148">
            <v>7223795</v>
          </cell>
          <cell r="E148">
            <v>397278000</v>
          </cell>
          <cell r="P148">
            <v>397000000</v>
          </cell>
          <cell r="Q148">
            <v>351550000</v>
          </cell>
          <cell r="R148">
            <v>351550000</v>
          </cell>
          <cell r="S148">
            <v>0</v>
          </cell>
          <cell r="U148">
            <v>45450000</v>
          </cell>
          <cell r="V148">
            <v>351550000</v>
          </cell>
          <cell r="W148">
            <v>0</v>
          </cell>
          <cell r="X148">
            <v>351550000</v>
          </cell>
        </row>
        <row r="149">
          <cell r="B149" t="str">
            <v>Đươờng Hai Sanh</v>
          </cell>
          <cell r="C149" t="str">
            <v>KBNN SĐ</v>
          </cell>
          <cell r="D149">
            <v>7223795</v>
          </cell>
          <cell r="E149">
            <v>725684000</v>
          </cell>
          <cell r="P149">
            <v>500000000</v>
          </cell>
          <cell r="Q149">
            <v>499076000</v>
          </cell>
          <cell r="R149">
            <v>499076000</v>
          </cell>
          <cell r="S149">
            <v>0</v>
          </cell>
          <cell r="U149">
            <v>924000</v>
          </cell>
          <cell r="V149">
            <v>499076000</v>
          </cell>
          <cell r="W149">
            <v>0</v>
          </cell>
          <cell r="X149">
            <v>499076000</v>
          </cell>
        </row>
        <row r="150">
          <cell r="A150">
            <v>2</v>
          </cell>
          <cell r="B150" t="str">
            <v>Vốn trái phiếu chính quyền địa phương</v>
          </cell>
        </row>
        <row r="151">
          <cell r="A151" t="str">
            <v>II</v>
          </cell>
          <cell r="B151" t="str">
            <v>NGUỒN VỐN NSTW</v>
          </cell>
        </row>
        <row r="152">
          <cell r="A152" t="str">
            <v>B</v>
          </cell>
          <cell r="B152" t="str">
            <v>Các dự án không ghi kế hoạch năm 2017 còn dư vốn tạm ứng chưa thu hồi từ những năm trước chuyển sang năm 2017</v>
          </cell>
          <cell r="E152">
            <v>135346825000</v>
          </cell>
          <cell r="F152">
            <v>94443245000</v>
          </cell>
          <cell r="G152">
            <v>1438030000</v>
          </cell>
          <cell r="H152">
            <v>269113000</v>
          </cell>
          <cell r="I152">
            <v>1167946000</v>
          </cell>
          <cell r="J152">
            <v>0</v>
          </cell>
          <cell r="K152">
            <v>0</v>
          </cell>
          <cell r="L152">
            <v>0</v>
          </cell>
          <cell r="M152">
            <v>0</v>
          </cell>
          <cell r="N152">
            <v>0</v>
          </cell>
          <cell r="O152">
            <v>0</v>
          </cell>
          <cell r="P152">
            <v>0</v>
          </cell>
          <cell r="Q152">
            <v>0</v>
          </cell>
          <cell r="R152">
            <v>0</v>
          </cell>
          <cell r="S152">
            <v>0</v>
          </cell>
          <cell r="T152">
            <v>0</v>
          </cell>
          <cell r="U152">
            <v>0</v>
          </cell>
          <cell r="V152">
            <v>1167946000</v>
          </cell>
          <cell r="W152">
            <v>971000</v>
          </cell>
          <cell r="X152">
            <v>94443245000</v>
          </cell>
        </row>
        <row r="153">
          <cell r="A153" t="str">
            <v>I</v>
          </cell>
          <cell r="B153" t="str">
            <v>VỐN ĐẦU TƯ TỪ NSĐP</v>
          </cell>
          <cell r="E153">
            <v>135346825000</v>
          </cell>
          <cell r="F153">
            <v>94443245000</v>
          </cell>
          <cell r="G153">
            <v>1438030000</v>
          </cell>
          <cell r="H153">
            <v>269113000</v>
          </cell>
          <cell r="I153">
            <v>1167946000</v>
          </cell>
          <cell r="J153">
            <v>0</v>
          </cell>
          <cell r="K153">
            <v>0</v>
          </cell>
          <cell r="L153">
            <v>0</v>
          </cell>
          <cell r="M153">
            <v>0</v>
          </cell>
          <cell r="N153">
            <v>0</v>
          </cell>
          <cell r="O153">
            <v>0</v>
          </cell>
          <cell r="P153">
            <v>0</v>
          </cell>
          <cell r="Q153">
            <v>0</v>
          </cell>
          <cell r="R153">
            <v>0</v>
          </cell>
          <cell r="S153">
            <v>0</v>
          </cell>
          <cell r="T153">
            <v>0</v>
          </cell>
          <cell r="U153">
            <v>0</v>
          </cell>
          <cell r="V153">
            <v>1167946000</v>
          </cell>
          <cell r="W153">
            <v>971000</v>
          </cell>
          <cell r="X153">
            <v>94443245000</v>
          </cell>
        </row>
        <row r="154">
          <cell r="A154">
            <v>1</v>
          </cell>
          <cell r="B154" t="str">
            <v>Vốn đầu tư trong cân đối NSĐP (bao gồm cả vốn đầu tư từ nguồn thu tiền sử dụng đất, vốn xổ số kiến thiết)</v>
          </cell>
          <cell r="E154">
            <v>135346825000</v>
          </cell>
          <cell r="F154">
            <v>94443245000</v>
          </cell>
          <cell r="G154">
            <v>1438030000</v>
          </cell>
          <cell r="H154">
            <v>269113000</v>
          </cell>
          <cell r="I154">
            <v>1167946000</v>
          </cell>
          <cell r="J154">
            <v>0</v>
          </cell>
          <cell r="K154">
            <v>0</v>
          </cell>
          <cell r="L154">
            <v>0</v>
          </cell>
          <cell r="M154">
            <v>0</v>
          </cell>
          <cell r="N154">
            <v>0</v>
          </cell>
          <cell r="O154">
            <v>0</v>
          </cell>
          <cell r="P154">
            <v>0</v>
          </cell>
          <cell r="Q154">
            <v>0</v>
          </cell>
          <cell r="R154">
            <v>0</v>
          </cell>
          <cell r="S154">
            <v>0</v>
          </cell>
          <cell r="T154">
            <v>0</v>
          </cell>
          <cell r="U154">
            <v>0</v>
          </cell>
          <cell r="V154">
            <v>1167946000</v>
          </cell>
          <cell r="W154">
            <v>971000</v>
          </cell>
          <cell r="X154">
            <v>94443245000</v>
          </cell>
        </row>
        <row r="155">
          <cell r="A155" t="str">
            <v>(1)</v>
          </cell>
          <cell r="B155" t="str">
            <v>Cấp tỉnh quản lý</v>
          </cell>
        </row>
        <row r="156">
          <cell r="A156" t="str">
            <v>(2)</v>
          </cell>
          <cell r="B156" t="str">
            <v>Cấp huyện quản lý</v>
          </cell>
          <cell r="E156">
            <v>132889102000</v>
          </cell>
          <cell r="F156">
            <v>92354046000</v>
          </cell>
          <cell r="G156">
            <v>1429541000</v>
          </cell>
          <cell r="H156">
            <v>269113000</v>
          </cell>
          <cell r="I156">
            <v>1159457000</v>
          </cell>
          <cell r="J156">
            <v>0</v>
          </cell>
          <cell r="K156">
            <v>0</v>
          </cell>
          <cell r="L156">
            <v>0</v>
          </cell>
          <cell r="M156">
            <v>0</v>
          </cell>
          <cell r="N156">
            <v>0</v>
          </cell>
          <cell r="O156">
            <v>0</v>
          </cell>
          <cell r="P156">
            <v>0</v>
          </cell>
          <cell r="Q156">
            <v>0</v>
          </cell>
          <cell r="R156">
            <v>0</v>
          </cell>
          <cell r="S156">
            <v>0</v>
          </cell>
          <cell r="T156">
            <v>0</v>
          </cell>
          <cell r="U156">
            <v>0</v>
          </cell>
          <cell r="V156">
            <v>1159457000</v>
          </cell>
          <cell r="W156">
            <v>971000</v>
          </cell>
          <cell r="X156">
            <v>92354046000</v>
          </cell>
        </row>
        <row r="157">
          <cell r="B157" t="str">
            <v>Khu nhà ở xã hội Phú Hòa</v>
          </cell>
          <cell r="C157" t="str">
            <v>KBNN SĐ</v>
          </cell>
          <cell r="D157">
            <v>7434352</v>
          </cell>
          <cell r="E157">
            <v>13577626000</v>
          </cell>
          <cell r="F157">
            <v>11173353000</v>
          </cell>
          <cell r="G157">
            <v>23932000</v>
          </cell>
          <cell r="I157">
            <v>23932000</v>
          </cell>
          <cell r="Q157">
            <v>0</v>
          </cell>
          <cell r="U157">
            <v>0</v>
          </cell>
          <cell r="V157">
            <v>23932000</v>
          </cell>
          <cell r="W157">
            <v>0</v>
          </cell>
          <cell r="X157">
            <v>11173353000</v>
          </cell>
        </row>
        <row r="158">
          <cell r="B158" t="str">
            <v>HT điện hạ thế xã Tân Phú Đông</v>
          </cell>
          <cell r="C158" t="str">
            <v>KBNN SĐ</v>
          </cell>
          <cell r="D158">
            <v>7513261</v>
          </cell>
          <cell r="E158">
            <v>1173925000</v>
          </cell>
          <cell r="F158">
            <v>797298000</v>
          </cell>
          <cell r="G158">
            <v>16737000</v>
          </cell>
          <cell r="I158">
            <v>16737000</v>
          </cell>
          <cell r="Q158">
            <v>0</v>
          </cell>
          <cell r="U158">
            <v>0</v>
          </cell>
          <cell r="V158">
            <v>16737000</v>
          </cell>
          <cell r="W158">
            <v>0</v>
          </cell>
          <cell r="X158">
            <v>797298000</v>
          </cell>
        </row>
        <row r="159">
          <cell r="B159" t="str">
            <v>HT điện xã Tân Khánh Đông: Kinh Lấp, Vao Thái Hương, Cồn Cát</v>
          </cell>
          <cell r="C159" t="str">
            <v>KBNN SĐ</v>
          </cell>
          <cell r="D159">
            <v>7564169</v>
          </cell>
          <cell r="E159">
            <v>1706575000</v>
          </cell>
          <cell r="F159">
            <v>1205041000</v>
          </cell>
          <cell r="G159">
            <v>25362000</v>
          </cell>
          <cell r="I159">
            <v>25362000</v>
          </cell>
          <cell r="Q159">
            <v>0</v>
          </cell>
          <cell r="U159">
            <v>0</v>
          </cell>
          <cell r="V159">
            <v>25362000</v>
          </cell>
          <cell r="W159">
            <v>0</v>
          </cell>
          <cell r="X159">
            <v>1205041000</v>
          </cell>
        </row>
        <row r="160">
          <cell r="B160" t="str">
            <v>Khu dân cư khóm 3 phường 2 (khu B)</v>
          </cell>
          <cell r="C160" t="str">
            <v>KBNN SĐ</v>
          </cell>
          <cell r="D160">
            <v>7003702</v>
          </cell>
          <cell r="E160">
            <v>44760376000</v>
          </cell>
          <cell r="F160">
            <v>42401216000</v>
          </cell>
          <cell r="G160">
            <v>15421000</v>
          </cell>
          <cell r="I160">
            <v>15421000</v>
          </cell>
          <cell r="Q160">
            <v>0</v>
          </cell>
          <cell r="U160">
            <v>0</v>
          </cell>
          <cell r="V160">
            <v>15421000</v>
          </cell>
          <cell r="W160">
            <v>0</v>
          </cell>
          <cell r="X160">
            <v>42401216000</v>
          </cell>
        </row>
        <row r="161">
          <cell r="B161" t="str">
            <v>Mở rộng kho lưu trữ UBND TPSĐ</v>
          </cell>
          <cell r="C161" t="str">
            <v>KBNN SĐ</v>
          </cell>
          <cell r="D161">
            <v>7498015</v>
          </cell>
          <cell r="E161">
            <v>2683749000</v>
          </cell>
          <cell r="F161">
            <v>2281418000</v>
          </cell>
          <cell r="G161">
            <v>5523000</v>
          </cell>
          <cell r="I161">
            <v>5523000</v>
          </cell>
          <cell r="Q161">
            <v>0</v>
          </cell>
          <cell r="U161">
            <v>0</v>
          </cell>
          <cell r="V161">
            <v>5523000</v>
          </cell>
          <cell r="W161">
            <v>0</v>
          </cell>
          <cell r="X161">
            <v>2281418000</v>
          </cell>
        </row>
        <row r="162">
          <cell r="B162" t="str">
            <v>Nghĩa trang Liệt sĩ (Sân dal, cống thoát nước)</v>
          </cell>
          <cell r="C162" t="str">
            <v>KBNN SĐ</v>
          </cell>
          <cell r="D162">
            <v>7268194</v>
          </cell>
          <cell r="E162">
            <v>435461000</v>
          </cell>
          <cell r="F162">
            <v>374885000</v>
          </cell>
          <cell r="G162">
            <v>1248000</v>
          </cell>
          <cell r="I162">
            <v>1248000</v>
          </cell>
          <cell r="Q162">
            <v>0</v>
          </cell>
          <cell r="U162">
            <v>0</v>
          </cell>
          <cell r="V162">
            <v>1248000</v>
          </cell>
          <cell r="W162">
            <v>0</v>
          </cell>
          <cell r="X162">
            <v>374885000</v>
          </cell>
        </row>
        <row r="163">
          <cell r="B163" t="str">
            <v>Đường Hùng Vương (KS Sađéc - Nguyễn Văn Phát)</v>
          </cell>
          <cell r="C163" t="str">
            <v>KBNN SĐ</v>
          </cell>
          <cell r="D163">
            <v>7209156</v>
          </cell>
          <cell r="E163">
            <v>9397731000</v>
          </cell>
          <cell r="F163">
            <v>7334427000</v>
          </cell>
          <cell r="G163">
            <v>11133000</v>
          </cell>
          <cell r="I163">
            <v>11133000</v>
          </cell>
          <cell r="Q163">
            <v>0</v>
          </cell>
          <cell r="U163">
            <v>0</v>
          </cell>
          <cell r="V163">
            <v>11133000</v>
          </cell>
          <cell r="W163">
            <v>0</v>
          </cell>
          <cell r="X163">
            <v>7334427000</v>
          </cell>
        </row>
        <row r="164">
          <cell r="B164" t="str">
            <v>Đường Sáu Diện đến Ba Làng</v>
          </cell>
          <cell r="C164" t="str">
            <v>KBNN SĐ</v>
          </cell>
          <cell r="D164">
            <v>7389624</v>
          </cell>
          <cell r="E164">
            <v>2231887000</v>
          </cell>
          <cell r="F164">
            <v>964404000</v>
          </cell>
          <cell r="G164">
            <v>4196000</v>
          </cell>
          <cell r="I164">
            <v>4196000</v>
          </cell>
          <cell r="Q164">
            <v>0</v>
          </cell>
          <cell r="U164">
            <v>0</v>
          </cell>
          <cell r="V164">
            <v>4196000</v>
          </cell>
          <cell r="W164">
            <v>0</v>
          </cell>
          <cell r="X164">
            <v>964404000</v>
          </cell>
        </row>
        <row r="165">
          <cell r="B165" t="str">
            <v>Đường nối từ trường Ng Đình Chiểu-KDC Phú Long</v>
          </cell>
          <cell r="C165" t="str">
            <v>KBNN SĐ</v>
          </cell>
          <cell r="D165">
            <v>7498683</v>
          </cell>
          <cell r="E165">
            <v>2360552000</v>
          </cell>
          <cell r="F165">
            <v>99785000</v>
          </cell>
          <cell r="G165">
            <v>54935000</v>
          </cell>
          <cell r="H165">
            <v>53964000</v>
          </cell>
          <cell r="Q165">
            <v>0</v>
          </cell>
          <cell r="U165">
            <v>0</v>
          </cell>
          <cell r="V165">
            <v>0</v>
          </cell>
          <cell r="W165">
            <v>971000</v>
          </cell>
          <cell r="X165">
            <v>99785000</v>
          </cell>
        </row>
        <row r="166">
          <cell r="B166" t="str">
            <v>Đường cặp rạch Nàng Hai cây me(HTM-TTN)</v>
          </cell>
          <cell r="C166" t="str">
            <v>KBNN SĐ</v>
          </cell>
          <cell r="D166">
            <v>7426048</v>
          </cell>
          <cell r="E166">
            <v>4991693000</v>
          </cell>
          <cell r="F166">
            <v>3445225000</v>
          </cell>
          <cell r="G166">
            <v>13518000</v>
          </cell>
          <cell r="I166">
            <v>13518000</v>
          </cell>
          <cell r="Q166">
            <v>0</v>
          </cell>
          <cell r="U166">
            <v>0</v>
          </cell>
          <cell r="V166">
            <v>13518000</v>
          </cell>
          <cell r="W166">
            <v>0</v>
          </cell>
          <cell r="X166">
            <v>3445225000</v>
          </cell>
        </row>
        <row r="167">
          <cell r="B167" t="str">
            <v>Kè chống sạt lỡ (cầu Hoà Khánh-cảng sông Sa Đéc)</v>
          </cell>
          <cell r="C167" t="str">
            <v>KBNN SĐ</v>
          </cell>
          <cell r="D167">
            <v>7424892</v>
          </cell>
          <cell r="E167">
            <v>630401000</v>
          </cell>
          <cell r="F167">
            <v>60000000</v>
          </cell>
          <cell r="G167">
            <v>60000000</v>
          </cell>
          <cell r="I167">
            <v>60000000</v>
          </cell>
          <cell r="Q167">
            <v>0</v>
          </cell>
          <cell r="U167">
            <v>0</v>
          </cell>
          <cell r="V167">
            <v>60000000</v>
          </cell>
          <cell r="W167">
            <v>0</v>
          </cell>
          <cell r="X167">
            <v>60000000</v>
          </cell>
        </row>
        <row r="168">
          <cell r="B168" t="str">
            <v>Kè chống sạt lỡ (cao đẳng nghề-rạch Cái Đôi)</v>
          </cell>
          <cell r="C168" t="str">
            <v>KBNN SĐ</v>
          </cell>
          <cell r="D168">
            <v>7424894</v>
          </cell>
          <cell r="E168">
            <v>876997000</v>
          </cell>
          <cell r="F168">
            <v>60000000</v>
          </cell>
          <cell r="G168">
            <v>60000000</v>
          </cell>
          <cell r="I168">
            <v>60000000</v>
          </cell>
          <cell r="Q168">
            <v>0</v>
          </cell>
          <cell r="U168">
            <v>0</v>
          </cell>
          <cell r="V168">
            <v>60000000</v>
          </cell>
          <cell r="W168">
            <v>0</v>
          </cell>
          <cell r="X168">
            <v>60000000</v>
          </cell>
        </row>
        <row r="169">
          <cell r="B169" t="str">
            <v>Kè chống sạt lỡ đường Lưu Văn Lang</v>
          </cell>
          <cell r="C169" t="str">
            <v>KBNN SĐ</v>
          </cell>
          <cell r="D169">
            <v>7424896</v>
          </cell>
          <cell r="E169">
            <v>273402000</v>
          </cell>
          <cell r="F169">
            <v>60000000</v>
          </cell>
          <cell r="G169">
            <v>60000000</v>
          </cell>
          <cell r="I169">
            <v>60000000</v>
          </cell>
          <cell r="Q169">
            <v>0</v>
          </cell>
          <cell r="U169">
            <v>0</v>
          </cell>
          <cell r="V169">
            <v>60000000</v>
          </cell>
          <cell r="W169">
            <v>0</v>
          </cell>
          <cell r="X169">
            <v>60000000</v>
          </cell>
        </row>
        <row r="170">
          <cell r="B170" t="str">
            <v>Cầu Rạch Rắn</v>
          </cell>
          <cell r="C170" t="str">
            <v>KBNN SĐ</v>
          </cell>
          <cell r="D170">
            <v>7316774</v>
          </cell>
          <cell r="E170">
            <v>26869555000</v>
          </cell>
          <cell r="F170">
            <v>20356049000</v>
          </cell>
          <cell r="G170">
            <v>976611000</v>
          </cell>
          <cell r="H170">
            <v>120637000</v>
          </cell>
          <cell r="I170">
            <v>855974000</v>
          </cell>
          <cell r="Q170">
            <v>0</v>
          </cell>
          <cell r="U170">
            <v>0</v>
          </cell>
          <cell r="V170">
            <v>855974000</v>
          </cell>
          <cell r="W170">
            <v>0</v>
          </cell>
          <cell r="X170">
            <v>20356049000</v>
          </cell>
        </row>
        <row r="171">
          <cell r="B171" t="str">
            <v>Nâng cấp quãng trường khu vực trước và sau tượng Bác Hồ</v>
          </cell>
          <cell r="C171" t="str">
            <v>KBNN SĐ</v>
          </cell>
          <cell r="D171">
            <v>7511390</v>
          </cell>
          <cell r="E171">
            <v>1892016000</v>
          </cell>
          <cell r="F171">
            <v>1523421000</v>
          </cell>
          <cell r="G171">
            <v>6413000</v>
          </cell>
          <cell r="I171">
            <v>6413000</v>
          </cell>
          <cell r="Q171">
            <v>0</v>
          </cell>
          <cell r="U171">
            <v>0</v>
          </cell>
          <cell r="V171">
            <v>6413000</v>
          </cell>
          <cell r="W171">
            <v>0</v>
          </cell>
          <cell r="X171">
            <v>1523421000</v>
          </cell>
        </row>
        <row r="172">
          <cell r="B172" t="str">
            <v>Trường mầm non Tân Phú Đông 3</v>
          </cell>
          <cell r="C172" t="str">
            <v>KBNN SĐ</v>
          </cell>
          <cell r="D172">
            <v>7482252</v>
          </cell>
          <cell r="E172">
            <v>19027156000</v>
          </cell>
          <cell r="F172">
            <v>217524000</v>
          </cell>
          <cell r="G172">
            <v>94512000</v>
          </cell>
          <cell r="H172">
            <v>94512000</v>
          </cell>
          <cell r="Q172">
            <v>0</v>
          </cell>
          <cell r="U172">
            <v>0</v>
          </cell>
          <cell r="V172">
            <v>0</v>
          </cell>
          <cell r="W172">
            <v>0</v>
          </cell>
          <cell r="X172">
            <v>217524000</v>
          </cell>
        </row>
        <row r="173">
          <cell r="A173" t="str">
            <v>(3)</v>
          </cell>
          <cell r="B173" t="str">
            <v>Cấp xã quản lý</v>
          </cell>
          <cell r="E173">
            <v>2457723000</v>
          </cell>
          <cell r="F173">
            <v>2089199000</v>
          </cell>
          <cell r="G173">
            <v>8489000</v>
          </cell>
          <cell r="H173">
            <v>0</v>
          </cell>
          <cell r="I173">
            <v>8489000</v>
          </cell>
          <cell r="J173">
            <v>0</v>
          </cell>
          <cell r="K173">
            <v>0</v>
          </cell>
          <cell r="L173">
            <v>0</v>
          </cell>
          <cell r="M173">
            <v>0</v>
          </cell>
          <cell r="N173">
            <v>0</v>
          </cell>
          <cell r="O173">
            <v>0</v>
          </cell>
          <cell r="P173">
            <v>0</v>
          </cell>
          <cell r="Q173">
            <v>0</v>
          </cell>
          <cell r="R173">
            <v>0</v>
          </cell>
          <cell r="S173">
            <v>0</v>
          </cell>
          <cell r="T173">
            <v>0</v>
          </cell>
          <cell r="U173">
            <v>0</v>
          </cell>
          <cell r="V173">
            <v>8489000</v>
          </cell>
          <cell r="W173">
            <v>0</v>
          </cell>
          <cell r="X173">
            <v>2089199000</v>
          </cell>
        </row>
        <row r="174">
          <cell r="B174" t="str">
            <v>Đường rạch Chùa bờ phải</v>
          </cell>
          <cell r="C174" t="str">
            <v>KBNN SĐ</v>
          </cell>
          <cell r="D174">
            <v>7227775</v>
          </cell>
          <cell r="E174">
            <v>557912000</v>
          </cell>
          <cell r="F174">
            <v>525534000</v>
          </cell>
          <cell r="G174">
            <v>2925000</v>
          </cell>
          <cell r="I174">
            <v>2925000</v>
          </cell>
          <cell r="Q174">
            <v>0</v>
          </cell>
          <cell r="U174">
            <v>0</v>
          </cell>
          <cell r="V174">
            <v>2925000</v>
          </cell>
          <cell r="W174">
            <v>0</v>
          </cell>
          <cell r="X174">
            <v>525534000</v>
          </cell>
        </row>
        <row r="175">
          <cell r="B175" t="str">
            <v>Đường cặp rạch nàng Hai</v>
          </cell>
          <cell r="C175" t="str">
            <v>KBNN SĐ</v>
          </cell>
          <cell r="D175">
            <v>7227775</v>
          </cell>
          <cell r="E175">
            <v>541885000</v>
          </cell>
          <cell r="F175">
            <v>467814000</v>
          </cell>
          <cell r="G175">
            <v>1853000</v>
          </cell>
          <cell r="I175">
            <v>1853000</v>
          </cell>
          <cell r="Q175">
            <v>0</v>
          </cell>
          <cell r="U175">
            <v>0</v>
          </cell>
          <cell r="V175">
            <v>1853000</v>
          </cell>
          <cell r="W175">
            <v>0</v>
          </cell>
          <cell r="X175">
            <v>467814000</v>
          </cell>
        </row>
        <row r="176">
          <cell r="B176" t="str">
            <v>Lát vỉa hè KHC+02 trường Phạm Hữu Lầu &amp; TT Nhượng</v>
          </cell>
          <cell r="C176" t="str">
            <v>KBNN SĐ</v>
          </cell>
          <cell r="D176">
            <v>7227775</v>
          </cell>
          <cell r="E176">
            <v>781454000</v>
          </cell>
          <cell r="F176">
            <v>672085000</v>
          </cell>
          <cell r="G176">
            <v>1908000</v>
          </cell>
          <cell r="I176">
            <v>1908000</v>
          </cell>
          <cell r="Q176">
            <v>0</v>
          </cell>
          <cell r="U176">
            <v>0</v>
          </cell>
          <cell r="V176">
            <v>1908000</v>
          </cell>
          <cell r="W176">
            <v>0</v>
          </cell>
          <cell r="X176">
            <v>672085000</v>
          </cell>
        </row>
        <row r="177">
          <cell r="B177" t="str">
            <v>Rạch Bà Điếc</v>
          </cell>
          <cell r="C177" t="str">
            <v>KBNN SĐ</v>
          </cell>
          <cell r="D177">
            <v>7227775</v>
          </cell>
          <cell r="E177">
            <v>576472000</v>
          </cell>
          <cell r="F177">
            <v>423766000</v>
          </cell>
          <cell r="G177">
            <v>1803000</v>
          </cell>
          <cell r="I177">
            <v>1803000</v>
          </cell>
          <cell r="Q177">
            <v>0</v>
          </cell>
          <cell r="U177">
            <v>0</v>
          </cell>
          <cell r="V177">
            <v>1803000</v>
          </cell>
          <cell r="W177">
            <v>0</v>
          </cell>
          <cell r="X177">
            <v>423766000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5338"/>
      <sheetName val="PL5439"/>
      <sheetName val="PL5500"/>
      <sheetName val="PL5600"/>
      <sheetName val="PL5700"/>
      <sheetName val="PL5840"/>
      <sheetName val="PL5941"/>
      <sheetName val="PL6000"/>
      <sheetName val="PL6142"/>
      <sheetName val="PL6243"/>
      <sheetName val="BC TT 85"/>
      <sheetName val="Mẫu 081"/>
      <sheetName val=" PL6300"/>
      <sheetName val="PL6400"/>
    </sheetNames>
    <sheetDataSet>
      <sheetData sheetId="9">
        <row r="33">
          <cell r="B33" t="str">
            <v>Trường Tiểu học Hòa Khánh</v>
          </cell>
        </row>
        <row r="34">
          <cell r="B34" t="str">
            <v>Trường Mầm non Hoa Mai</v>
          </cell>
        </row>
        <row r="37">
          <cell r="B37" t="str">
            <v>Cụm dân cư Tân Khánh Đông (KDC Đông Qưới - phần sinh lợi)</v>
          </cell>
        </row>
        <row r="39">
          <cell r="B39" t="str">
            <v>Hạ tầng phát triển du lịch thành phố Sa Đéc (hạng mục: đường Lê Lợi và đường Ông Thung Cai Dao)- đối ứng vốn tỉnh hỗ trợ</v>
          </cell>
        </row>
        <row r="40">
          <cell r="B40" t="str">
            <v>Cảnh Quan làng hoa Sa Nhiên - Cai Dao</v>
          </cell>
        </row>
        <row r="42">
          <cell r="B42" t="str">
            <v>Đường chùa giáp ranh huyện Châu Thành</v>
          </cell>
        </row>
        <row r="43">
          <cell r="B43" t="str">
            <v>Đường rạch Trâm Bầu</v>
          </cell>
        </row>
        <row r="44">
          <cell r="B44" t="str">
            <v>Mở rộng đường rạch Chùa bờ trái ( ĐT 848- Trường MG Tân An )</v>
          </cell>
        </row>
        <row r="45">
          <cell r="B45" t="str">
            <v>Đường Xếp Mương Đào</v>
          </cell>
        </row>
        <row r="46">
          <cell r="B46" t="str">
            <v>Đường từ Nguyễn Sinh Sắc đến Khu Liên hợp thể dục thể thao</v>
          </cell>
        </row>
        <row r="47">
          <cell r="B47" t="str">
            <v>Cầu Tư Ú</v>
          </cell>
        </row>
        <row r="48">
          <cell r="B48" t="str">
            <v>Đường vào khu du lịch làng hoa kiểng thành phố Sa Đéc</v>
          </cell>
        </row>
        <row r="49">
          <cell r="B49" t="str">
            <v>Đường Cao mên trên bờ phải (đoạn từ tỉnh lộ ĐT 852 đến nhà Ông Huỳnh Văn Dương)</v>
          </cell>
        </row>
        <row r="50">
          <cell r="B50" t="str">
            <v>Đường mới song song đường Nguyễn  Sinh Sắc (từ Hùng Vương - ĐT 848 nối dài)</v>
          </cell>
        </row>
        <row r="53">
          <cell r="B53" t="str">
            <v>Dự án Xử lý nước thải, chất thải cải thiện môi trường làng nghề sản xuất bột chăn nuôi xã Tân Phú Đông</v>
          </cell>
        </row>
        <row r="55">
          <cell r="B55" t="str">
            <v>Trụ sở làm việc Công an và Ban chỉ huy quân sự xã Tân Phú Đông</v>
          </cell>
        </row>
        <row r="56">
          <cell r="B56" t="str">
            <v>Ban chỉ huy Quân sự. Hạng mục: Xây dựng nhà ở tập trung cho huấn luyện LLDBĐV-DQTV</v>
          </cell>
        </row>
        <row r="58">
          <cell r="B58" t="str">
            <v>Trụ sở UBND phường 4 </v>
          </cell>
        </row>
        <row r="59">
          <cell r="B59" t="str">
            <v> Trụ sở UBND TP Sa Đéc (nhà làm việc bộ phận tiếp nhận hồ sơ và trả kết quả)</v>
          </cell>
        </row>
        <row r="60">
          <cell r="B60" t="str">
            <v>Khu hành chính UBND thành phố Sa Đéc, hạng mục: Cải tạo, sửa chữa</v>
          </cell>
        </row>
        <row r="61">
          <cell r="B61" t="str">
            <v>Mở rộng nâng cấp Trụ sở UBND phường Tân Quy Đông</v>
          </cell>
        </row>
        <row r="64">
          <cell r="B64" t="str">
            <v> Chợ cá Sa Đéc (vốn dân 50%, nhà nước 50%)</v>
          </cell>
        </row>
        <row r="65">
          <cell r="B65" t="str">
            <v> Chợ Nông sản thành phố (vốn dân 50%, nhà nước 50%)</v>
          </cell>
        </row>
        <row r="66">
          <cell r="B66" t="str">
            <v> Trụ sở UBND TP Sa Đéc (nhà làm việc bộ phận tiếp nhận hồ sơ và trả kết quả)</v>
          </cell>
        </row>
        <row r="67">
          <cell r="B67" t="str">
            <v>Đường chùa giáp ranh huyện Châu Thành</v>
          </cell>
        </row>
        <row r="68">
          <cell r="B68" t="str">
            <v>Cầu Rạch Rắn</v>
          </cell>
        </row>
        <row r="69">
          <cell r="B69" t="str">
            <v>Đường Lòng Lai bờ phải đoạn 2</v>
          </cell>
        </row>
        <row r="70">
          <cell r="B70" t="str">
            <v>Cầu Rạch Bà Điếc</v>
          </cell>
        </row>
        <row r="71">
          <cell r="B71" t="str">
            <v>Đường cặp rạch nàng Hai (cây me) Trần Phú đến Nguyễn Văn Phát</v>
          </cell>
        </row>
        <row r="72">
          <cell r="B72" t="str">
            <v>Đường kênh Đốc Phủ Hiền bờ phải nối dài</v>
          </cell>
        </row>
        <row r="73">
          <cell r="B73" t="str">
            <v>Khu dân cư nhà ở xã hội Tân Phú Đông (Phú Hòa)</v>
          </cell>
        </row>
        <row r="74">
          <cell r="B74" t="str">
            <v>Tuyền cấp nước bờ trái QL 80 (cầu Đốc Phủ Hiền - Đội Thơ)</v>
          </cell>
        </row>
        <row r="75">
          <cell r="B75" t="str">
            <v> Hạ thế điện đường Ô bao tập đoàn 9 (vàm bà Chủ - vàm Cai Khoa).</v>
          </cell>
        </row>
        <row r="76">
          <cell r="B76" t="str">
            <v>Đường Cái Bè</v>
          </cell>
        </row>
        <row r="77">
          <cell r="B77" t="str">
            <v>Khu trung tâm mua sắm Phú Mỹ, hạng mục: Đường giao thông từ đường Nguyễn Sinh Sắc đến dự án Tổ Ong vàng và đường Đ-03 (nối từ đường Đ-01 đến đường Đ-02)</v>
          </cell>
        </row>
        <row r="78">
          <cell r="B78" t="str">
            <v>Đường cặp rạch nàng Hai - cây me (Nguyễn Văn Phát-cầu Rạch Rẫy)</v>
          </cell>
        </row>
        <row r="79">
          <cell r="B79" t="str">
            <v>Đường Sa Nhiên Cai Dao</v>
          </cell>
        </row>
        <row r="80">
          <cell r="B80" t="str">
            <v>Đường cặp rạch nàng Hai - cây me (HTM-TTN)</v>
          </cell>
        </row>
        <row r="81">
          <cell r="B81" t="str">
            <v>HT điện hạ thế xã Tân Phú Đông (đường tránh QL 80 - bên phải)</v>
          </cell>
        </row>
        <row r="82">
          <cell r="B82" t="str">
            <v>Đường cặp rạch Bình Tiên</v>
          </cell>
        </row>
        <row r="83">
          <cell r="B83" t="str">
            <v>Đường Ngã Bát bờ trái đoạn 3</v>
          </cell>
        </row>
        <row r="84">
          <cell r="B84" t="str">
            <v>Cầu + Đường Tôn Đức Thắng nối dài </v>
          </cell>
        </row>
        <row r="85">
          <cell r="B85" t="str">
            <v>Bãi đỗ xe làng hoa ( Bồi thường + chi phí chuẩn bị đầu tư)</v>
          </cell>
        </row>
        <row r="86">
          <cell r="B86" t="str">
            <v>Mở rộng đường Ngã Cạy bờ trái</v>
          </cell>
        </row>
        <row r="87">
          <cell r="B87" t="str">
            <v>Mở rộng đường rạch Chùa bờ trái ( ĐT 848- cầu Ba Nhạn)</v>
          </cell>
        </row>
        <row r="88">
          <cell r="B88" t="str">
            <v>Đường rạch Cao Mên (từ ĐT 852 đến cầu Miễu)</v>
          </cell>
        </row>
        <row r="89">
          <cell r="B89" t="str">
            <v>Đường Ngã Bát bờ trái đoạn 2</v>
          </cell>
        </row>
        <row r="90">
          <cell r="B90" t="str">
            <v>Mở rộng đường cặp rạch Nàng Hai ( từ cầu Hồ Tùng Mậu- chùa Tây Hưng)</v>
          </cell>
        </row>
        <row r="91">
          <cell r="B91" t="str">
            <v> Mở rộng đường rạch Chùa bờ phải ( ĐT 848- cầu Hai Đường)</v>
          </cell>
        </row>
        <row r="92">
          <cell r="B92" t="str">
            <v>Khu dân cư khóm 3 phường 2 </v>
          </cell>
        </row>
        <row r="93">
          <cell r="B93" t="str">
            <v>Khu dân cư thương mại thành phố Sa Đéc</v>
          </cell>
        </row>
        <row r="105">
          <cell r="B105" t="str">
            <v>Trường Trung học cơ sở Tân Phú Đông</v>
          </cell>
        </row>
        <row r="118">
          <cell r="B118" t="str">
            <v>Trường TH Vĩnh Phước (giai đoạn 2)</v>
          </cell>
        </row>
        <row r="119">
          <cell r="B119" t="str">
            <v>Trường Mầm non Tân Phú Đông 3</v>
          </cell>
        </row>
        <row r="123">
          <cell r="B123" t="str">
            <v>Mở rộng nghĩa trang nhân dân giai đoạn 2</v>
          </cell>
        </row>
        <row r="128">
          <cell r="B128" t="str">
            <v>Cầu + Đường Tôn Đức Thắng nối dài </v>
          </cell>
        </row>
        <row r="129">
          <cell r="B129" t="str">
            <v>Đường Nguyễn Tất Thành nối dài </v>
          </cell>
        </row>
        <row r="130">
          <cell r="B130" t="str">
            <v>Đường Kênh cùng Long Thắng</v>
          </cell>
        </row>
        <row r="131">
          <cell r="B131" t="str">
            <v>Đường Rạch chùa bờ phải (đoạn từ cầu Hai Đường đến đường Phạm Hữu Lầu nối dài)</v>
          </cell>
        </row>
        <row r="132">
          <cell r="B132" t="str">
            <v> Nâng cấp đường Trần Hưng Đạo ( Trạm Y tế phường 1- cầu. Nàng Hai)</v>
          </cell>
        </row>
        <row r="134">
          <cell r="B134" t="str">
            <v>Đường vào khu công nghiệp C Sa Đéc mở rộng</v>
          </cell>
        </row>
        <row r="135">
          <cell r="B135" t="str">
            <v>Bố trí vốn đối ứng xây dựng trụ sở Ban CHQS phường Tân Quy Đông</v>
          </cell>
        </row>
        <row r="136">
          <cell r="B136" t="str">
            <v> Đường nối cảnh quan kè sông Tiền, khu dân cư khóm 3 với đường dẫn bến phà</v>
          </cell>
        </row>
        <row r="141">
          <cell r="B141" t="str">
            <v>Hội trường thành phố Sa Đéc</v>
          </cell>
        </row>
        <row r="147">
          <cell r="B147" t="str">
            <v>Đường Xếp Mương Đào</v>
          </cell>
        </row>
        <row r="153">
          <cell r="B153" t="str">
            <v>Hạ tầng phát triển du lịch thành phố Sa Đéc (hạng mục: đường Lê Lợi và đường Ông Thung Cai Dao)- đối ứng vốn tỉnh hỗ trợ </v>
          </cell>
        </row>
        <row r="155">
          <cell r="B155" t="str">
            <v>Trụ sở UBND phường 4 </v>
          </cell>
        </row>
        <row r="181">
          <cell r="B181" t="str">
            <v>Đường nối từ trường Nguyễn Đình Chiểu đến KDC Phú Long</v>
          </cell>
        </row>
      </sheetData>
      <sheetData sheetId="10">
        <row r="12">
          <cell r="A12">
            <v>1</v>
          </cell>
          <cell r="B12">
            <v>2</v>
          </cell>
          <cell r="C12">
            <v>3</v>
          </cell>
          <cell r="D12">
            <v>4</v>
          </cell>
          <cell r="E12">
            <v>5</v>
          </cell>
          <cell r="F12">
            <v>6</v>
          </cell>
          <cell r="G12">
            <v>7</v>
          </cell>
          <cell r="H12">
            <v>8</v>
          </cell>
          <cell r="I12">
            <v>9</v>
          </cell>
          <cell r="J12">
            <v>10</v>
          </cell>
          <cell r="K12" t="str">
            <v>11=12+13</v>
          </cell>
          <cell r="L12">
            <v>12</v>
          </cell>
          <cell r="M12">
            <v>13</v>
          </cell>
          <cell r="N12">
            <v>14</v>
          </cell>
          <cell r="O12" t="str">
            <v>15=10-11-14</v>
          </cell>
          <cell r="P12">
            <v>16</v>
          </cell>
          <cell r="Q12" t="str">
            <v>17=18+19</v>
          </cell>
          <cell r="R12">
            <v>18</v>
          </cell>
          <cell r="S12">
            <v>19</v>
          </cell>
          <cell r="T12">
            <v>20</v>
          </cell>
          <cell r="U12" t="str">
            <v>21=16-17-20</v>
          </cell>
          <cell r="V12" t="str">
            <v>22=9+12+18</v>
          </cell>
          <cell r="W12" t="str">
            <v>23=7-8-9+13+19</v>
          </cell>
          <cell r="X12" t="str">
            <v>24=6+11+17</v>
          </cell>
        </row>
        <row r="14">
          <cell r="B14" t="str">
            <v>TỔNG SỐ (A+B+C+D)</v>
          </cell>
          <cell r="E14">
            <v>1126773.5431</v>
          </cell>
          <cell r="F14">
            <v>393067.563</v>
          </cell>
          <cell r="G14">
            <v>22814.863999999994</v>
          </cell>
          <cell r="H14">
            <v>345.985</v>
          </cell>
          <cell r="I14">
            <v>20338.641999999996</v>
          </cell>
          <cell r="J14">
            <v>0</v>
          </cell>
          <cell r="K14">
            <v>0</v>
          </cell>
          <cell r="L14">
            <v>0</v>
          </cell>
          <cell r="M14">
            <v>0</v>
          </cell>
          <cell r="N14">
            <v>0</v>
          </cell>
          <cell r="O14">
            <v>0</v>
          </cell>
          <cell r="P14">
            <v>126848</v>
          </cell>
          <cell r="Q14">
            <v>110658.62200000002</v>
          </cell>
          <cell r="R14">
            <v>101909.208</v>
          </cell>
          <cell r="S14">
            <v>8749.414</v>
          </cell>
          <cell r="T14">
            <v>0</v>
          </cell>
          <cell r="U14">
            <v>16189.378</v>
          </cell>
          <cell r="V14">
            <v>122247.85</v>
          </cell>
          <cell r="W14">
            <v>10879.650999999998</v>
          </cell>
          <cell r="X14">
            <v>503380.2</v>
          </cell>
        </row>
        <row r="15">
          <cell r="B15" t="str">
            <v>Vốn trong nước</v>
          </cell>
          <cell r="E15">
            <v>1126773.5431</v>
          </cell>
          <cell r="F15">
            <v>393067.563</v>
          </cell>
          <cell r="G15">
            <v>22814.863999999994</v>
          </cell>
          <cell r="H15">
            <v>345.985</v>
          </cell>
          <cell r="I15">
            <v>20338.641999999996</v>
          </cell>
          <cell r="J15">
            <v>0</v>
          </cell>
          <cell r="K15">
            <v>0</v>
          </cell>
          <cell r="L15">
            <v>0</v>
          </cell>
          <cell r="M15">
            <v>0</v>
          </cell>
          <cell r="N15">
            <v>0</v>
          </cell>
          <cell r="O15">
            <v>0</v>
          </cell>
          <cell r="P15">
            <v>126848</v>
          </cell>
          <cell r="Q15">
            <v>110658.62200000002</v>
          </cell>
          <cell r="R15">
            <v>101909.208</v>
          </cell>
          <cell r="S15">
            <v>8749.414</v>
          </cell>
          <cell r="T15">
            <v>0</v>
          </cell>
          <cell r="U15">
            <v>16189.378</v>
          </cell>
          <cell r="V15">
            <v>122247.85</v>
          </cell>
          <cell r="W15">
            <v>10879.650999999998</v>
          </cell>
          <cell r="X15">
            <v>503380.2</v>
          </cell>
        </row>
        <row r="16">
          <cell r="A16" t="str">
            <v>A</v>
          </cell>
          <cell r="B16" t="str">
            <v>VỐN NSNN:</v>
          </cell>
          <cell r="E16">
            <v>1126773.5431</v>
          </cell>
          <cell r="F16">
            <v>393067.563</v>
          </cell>
          <cell r="G16">
            <v>22814.863999999994</v>
          </cell>
          <cell r="H16">
            <v>345.985</v>
          </cell>
          <cell r="I16">
            <v>20338.641999999996</v>
          </cell>
          <cell r="J16">
            <v>0</v>
          </cell>
          <cell r="K16">
            <v>0</v>
          </cell>
          <cell r="L16">
            <v>0</v>
          </cell>
          <cell r="M16">
            <v>0</v>
          </cell>
          <cell r="N16">
            <v>0</v>
          </cell>
          <cell r="O16">
            <v>0</v>
          </cell>
          <cell r="P16">
            <v>126848</v>
          </cell>
          <cell r="Q16">
            <v>110658.62200000002</v>
          </cell>
          <cell r="R16">
            <v>101909.208</v>
          </cell>
          <cell r="S16">
            <v>8749.414</v>
          </cell>
          <cell r="T16">
            <v>0</v>
          </cell>
          <cell r="U16">
            <v>16189.378</v>
          </cell>
          <cell r="V16">
            <v>122247.85</v>
          </cell>
          <cell r="W16">
            <v>10879.650999999998</v>
          </cell>
          <cell r="X16">
            <v>503380.2</v>
          </cell>
        </row>
        <row r="17">
          <cell r="A17" t="str">
            <v>A.1</v>
          </cell>
          <cell r="B17" t="str">
            <v>Các dự án thuộc kế hoạch năm 2018</v>
          </cell>
          <cell r="E17">
            <v>1126773.5431</v>
          </cell>
          <cell r="F17">
            <v>393067.563</v>
          </cell>
          <cell r="G17">
            <v>22814.863999999994</v>
          </cell>
          <cell r="H17">
            <v>345.985</v>
          </cell>
          <cell r="I17">
            <v>20338.641999999996</v>
          </cell>
          <cell r="J17">
            <v>0</v>
          </cell>
          <cell r="K17">
            <v>0</v>
          </cell>
          <cell r="L17">
            <v>0</v>
          </cell>
          <cell r="M17">
            <v>0</v>
          </cell>
          <cell r="N17">
            <v>0</v>
          </cell>
          <cell r="O17">
            <v>0</v>
          </cell>
          <cell r="P17">
            <v>126848</v>
          </cell>
          <cell r="Q17">
            <v>110658.62200000002</v>
          </cell>
          <cell r="R17">
            <v>101909.208</v>
          </cell>
          <cell r="S17">
            <v>8749.414</v>
          </cell>
          <cell r="T17">
            <v>0</v>
          </cell>
          <cell r="U17">
            <v>16189.378</v>
          </cell>
          <cell r="V17">
            <v>122247.85</v>
          </cell>
          <cell r="W17">
            <v>10879.650999999998</v>
          </cell>
          <cell r="X17">
            <v>503380.2</v>
          </cell>
        </row>
        <row r="18">
          <cell r="A18" t="str">
            <v>I</v>
          </cell>
          <cell r="B18" t="str">
            <v>Vốn Ngân sách tập trung đầu tư theo ngành, lĩnh vực: </v>
          </cell>
          <cell r="E18">
            <v>712062.8801</v>
          </cell>
          <cell r="F18">
            <v>315830.201</v>
          </cell>
          <cell r="G18">
            <v>14231.798999999997</v>
          </cell>
          <cell r="H18">
            <v>0</v>
          </cell>
          <cell r="I18">
            <v>13017.543999999998</v>
          </cell>
          <cell r="J18">
            <v>0</v>
          </cell>
          <cell r="K18">
            <v>0</v>
          </cell>
          <cell r="L18">
            <v>0</v>
          </cell>
          <cell r="M18">
            <v>0</v>
          </cell>
          <cell r="N18">
            <v>0</v>
          </cell>
          <cell r="O18">
            <v>0</v>
          </cell>
          <cell r="P18">
            <v>62500</v>
          </cell>
          <cell r="Q18">
            <v>54389.29100000001</v>
          </cell>
          <cell r="R18">
            <v>47708.44</v>
          </cell>
          <cell r="S18">
            <v>6680.851000000001</v>
          </cell>
          <cell r="T18">
            <v>0</v>
          </cell>
          <cell r="U18">
            <v>8110.709</v>
          </cell>
          <cell r="V18">
            <v>60725.984000000004</v>
          </cell>
          <cell r="W18">
            <v>7895.106</v>
          </cell>
          <cell r="X18">
            <v>370219.492</v>
          </cell>
        </row>
        <row r="19">
          <cell r="B19" t="str">
            <v>Vốn trong nước</v>
          </cell>
          <cell r="E19">
            <v>712062.8801</v>
          </cell>
          <cell r="F19">
            <v>315830.201</v>
          </cell>
          <cell r="G19">
            <v>14231.798999999997</v>
          </cell>
          <cell r="H19">
            <v>0</v>
          </cell>
          <cell r="I19">
            <v>13017.543999999998</v>
          </cell>
          <cell r="J19">
            <v>0</v>
          </cell>
          <cell r="K19">
            <v>0</v>
          </cell>
          <cell r="L19">
            <v>0</v>
          </cell>
          <cell r="M19">
            <v>0</v>
          </cell>
          <cell r="N19">
            <v>0</v>
          </cell>
          <cell r="O19">
            <v>0</v>
          </cell>
          <cell r="P19">
            <v>62500</v>
          </cell>
          <cell r="Q19">
            <v>54389.29100000001</v>
          </cell>
          <cell r="R19">
            <v>47708.44</v>
          </cell>
          <cell r="S19">
            <v>6680.851000000001</v>
          </cell>
          <cell r="T19">
            <v>0</v>
          </cell>
          <cell r="U19">
            <v>8110.709</v>
          </cell>
          <cell r="V19">
            <v>60725.984000000004</v>
          </cell>
          <cell r="W19">
            <v>7895.106</v>
          </cell>
          <cell r="X19">
            <v>370219.492</v>
          </cell>
        </row>
        <row r="20">
          <cell r="A20">
            <v>1</v>
          </cell>
          <cell r="B20" t="str">
            <v>Vốn Chuẩn bị đầu tư</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row>
        <row r="21">
          <cell r="B21" t="str">
            <v> - Giáo dục Đào tạo</v>
          </cell>
        </row>
        <row r="22">
          <cell r="B22" t="str">
            <v> - Thể thao</v>
          </cell>
        </row>
        <row r="23">
          <cell r="B23" t="str">
            <v> - Văn hóa xã hội</v>
          </cell>
        </row>
        <row r="24">
          <cell r="B24" t="str">
            <v> - Thương mại du lịch</v>
          </cell>
        </row>
        <row r="25">
          <cell r="B25" t="str">
            <v> - Giao thông</v>
          </cell>
          <cell r="G25">
            <v>0</v>
          </cell>
        </row>
        <row r="26">
          <cell r="B26" t="str">
            <v> - Cấp nước và dịch vụ công cộng</v>
          </cell>
        </row>
        <row r="27">
          <cell r="B27" t="str">
            <v> - Xử lý nước thải</v>
          </cell>
        </row>
        <row r="28">
          <cell r="B28" t="str">
            <v> - An ninh quốc phòng</v>
          </cell>
        </row>
        <row r="29">
          <cell r="B29" t="str">
            <v> - Quản lý nhà nước</v>
          </cell>
        </row>
        <row r="30">
          <cell r="B30" t="str">
            <v> - Nông lâm thủy lợi</v>
          </cell>
        </row>
        <row r="31">
          <cell r="A31">
            <v>2</v>
          </cell>
          <cell r="B31" t="str">
            <v>Vốn Thực hiện dự án</v>
          </cell>
          <cell r="E31">
            <v>712062.8801</v>
          </cell>
          <cell r="F31">
            <v>315830.201</v>
          </cell>
          <cell r="G31">
            <v>14231.798999999997</v>
          </cell>
          <cell r="H31">
            <v>0</v>
          </cell>
          <cell r="I31">
            <v>13017.543999999998</v>
          </cell>
          <cell r="J31">
            <v>0</v>
          </cell>
          <cell r="K31">
            <v>0</v>
          </cell>
          <cell r="L31">
            <v>0</v>
          </cell>
          <cell r="M31">
            <v>0</v>
          </cell>
          <cell r="N31">
            <v>0</v>
          </cell>
          <cell r="O31">
            <v>0</v>
          </cell>
          <cell r="P31">
            <v>62500</v>
          </cell>
          <cell r="Q31">
            <v>54389.29100000001</v>
          </cell>
          <cell r="R31">
            <v>47708.44</v>
          </cell>
          <cell r="S31">
            <v>6680.851000000001</v>
          </cell>
          <cell r="T31">
            <v>0</v>
          </cell>
          <cell r="U31">
            <v>8110.709</v>
          </cell>
          <cell r="V31">
            <v>60725.984000000004</v>
          </cell>
          <cell r="W31">
            <v>7895.106</v>
          </cell>
          <cell r="X31">
            <v>370219.492</v>
          </cell>
        </row>
        <row r="32">
          <cell r="B32" t="str">
            <v> - Giáo dục Đào tạo</v>
          </cell>
          <cell r="E32">
            <v>15040</v>
          </cell>
          <cell r="F32">
            <v>4140.584</v>
          </cell>
          <cell r="G32">
            <v>2322.627</v>
          </cell>
          <cell r="H32">
            <v>0</v>
          </cell>
          <cell r="I32">
            <v>2302.621</v>
          </cell>
          <cell r="J32">
            <v>0</v>
          </cell>
          <cell r="K32">
            <v>0</v>
          </cell>
          <cell r="L32">
            <v>0</v>
          </cell>
          <cell r="M32">
            <v>0</v>
          </cell>
          <cell r="N32">
            <v>0</v>
          </cell>
          <cell r="O32">
            <v>0</v>
          </cell>
          <cell r="P32">
            <v>7301</v>
          </cell>
          <cell r="Q32">
            <v>6001.793</v>
          </cell>
          <cell r="R32">
            <v>5977.456999999999</v>
          </cell>
          <cell r="S32">
            <v>24.336000000000013</v>
          </cell>
          <cell r="T32">
            <v>0</v>
          </cell>
          <cell r="U32">
            <v>1299.2070000000003</v>
          </cell>
          <cell r="V32">
            <v>8280.078</v>
          </cell>
          <cell r="W32">
            <v>44.341999999999985</v>
          </cell>
          <cell r="X32">
            <v>10142.377</v>
          </cell>
        </row>
        <row r="33">
          <cell r="B33" t="str">
            <v>Trường Tiểu học Hòa Khánh</v>
          </cell>
          <cell r="C33" t="str">
            <v>KBSĐ</v>
          </cell>
          <cell r="D33">
            <v>7561460</v>
          </cell>
          <cell r="E33">
            <v>10577</v>
          </cell>
          <cell r="F33">
            <v>3000</v>
          </cell>
          <cell r="G33">
            <v>1346.555</v>
          </cell>
          <cell r="I33">
            <v>1346.555</v>
          </cell>
          <cell r="K33">
            <v>0</v>
          </cell>
          <cell r="O33">
            <v>0</v>
          </cell>
          <cell r="P33">
            <v>5731</v>
          </cell>
          <cell r="Q33">
            <v>5560.467</v>
          </cell>
          <cell r="R33">
            <v>5560.467</v>
          </cell>
          <cell r="U33">
            <v>170.53300000000036</v>
          </cell>
          <cell r="V33">
            <v>6907.022</v>
          </cell>
          <cell r="W33">
            <v>0</v>
          </cell>
          <cell r="X33">
            <v>8560.467</v>
          </cell>
        </row>
        <row r="34">
          <cell r="B34" t="str">
            <v>Trường Mầm non Hoa Mai</v>
          </cell>
          <cell r="C34" t="str">
            <v>KBSĐ</v>
          </cell>
          <cell r="D34">
            <v>7590549</v>
          </cell>
          <cell r="E34">
            <v>4463</v>
          </cell>
          <cell r="F34">
            <v>1140.584</v>
          </cell>
          <cell r="G34">
            <v>976.072</v>
          </cell>
          <cell r="I34">
            <v>956.066</v>
          </cell>
          <cell r="K34">
            <v>0</v>
          </cell>
          <cell r="O34">
            <v>0</v>
          </cell>
          <cell r="P34">
            <v>1570</v>
          </cell>
          <cell r="Q34">
            <v>441.326</v>
          </cell>
          <cell r="R34">
            <v>416.99</v>
          </cell>
          <cell r="S34">
            <v>24.336000000000013</v>
          </cell>
          <cell r="U34">
            <v>1128.674</v>
          </cell>
          <cell r="V34">
            <v>1373.056</v>
          </cell>
          <cell r="W34">
            <v>44.341999999999985</v>
          </cell>
          <cell r="X34">
            <v>1581.91</v>
          </cell>
        </row>
        <row r="35">
          <cell r="B35" t="str">
            <v> - Thể thao</v>
          </cell>
        </row>
        <row r="36">
          <cell r="B36" t="str">
            <v> - Văn hóa xã hội</v>
          </cell>
          <cell r="E36">
            <v>8815.138</v>
          </cell>
          <cell r="F36">
            <v>7061.475</v>
          </cell>
          <cell r="G36">
            <v>19.972</v>
          </cell>
          <cell r="H36">
            <v>0</v>
          </cell>
          <cell r="I36">
            <v>19.972</v>
          </cell>
          <cell r="J36">
            <v>0</v>
          </cell>
          <cell r="K36">
            <v>0</v>
          </cell>
          <cell r="L36">
            <v>0</v>
          </cell>
          <cell r="M36">
            <v>0</v>
          </cell>
          <cell r="N36">
            <v>0</v>
          </cell>
          <cell r="O36">
            <v>0</v>
          </cell>
          <cell r="P36">
            <v>1104</v>
          </cell>
          <cell r="Q36">
            <v>1020.361</v>
          </cell>
          <cell r="R36">
            <v>1020.361</v>
          </cell>
          <cell r="S36">
            <v>0</v>
          </cell>
          <cell r="T36">
            <v>0</v>
          </cell>
          <cell r="U36">
            <v>83.63900000000001</v>
          </cell>
          <cell r="V36">
            <v>1040.333</v>
          </cell>
          <cell r="W36">
            <v>0</v>
          </cell>
          <cell r="X36">
            <v>8081.836</v>
          </cell>
        </row>
        <row r="37">
          <cell r="B37" t="str">
            <v>Cụm dân cư Tân Khánh Đông (KDC Đông Qưới - phần sinh lợi)</v>
          </cell>
          <cell r="C37" t="str">
            <v>KBSĐ</v>
          </cell>
          <cell r="D37">
            <v>7613377</v>
          </cell>
          <cell r="E37">
            <v>8815.138</v>
          </cell>
          <cell r="F37">
            <v>7061.475</v>
          </cell>
          <cell r="G37">
            <v>19.972</v>
          </cell>
          <cell r="I37">
            <v>19.972</v>
          </cell>
          <cell r="K37">
            <v>0</v>
          </cell>
          <cell r="O37">
            <v>0</v>
          </cell>
          <cell r="P37">
            <v>1104</v>
          </cell>
          <cell r="Q37">
            <v>1020.361</v>
          </cell>
          <cell r="R37">
            <v>1020.361</v>
          </cell>
          <cell r="U37">
            <v>83.63900000000001</v>
          </cell>
          <cell r="V37">
            <v>1040.333</v>
          </cell>
          <cell r="W37">
            <v>0</v>
          </cell>
          <cell r="X37">
            <v>8081.836</v>
          </cell>
        </row>
        <row r="38">
          <cell r="B38" t="str">
            <v> - Thương mại du lịch</v>
          </cell>
          <cell r="E38">
            <v>38815.979</v>
          </cell>
          <cell r="F38">
            <v>4655.75</v>
          </cell>
          <cell r="G38">
            <v>775.962</v>
          </cell>
          <cell r="H38">
            <v>0</v>
          </cell>
          <cell r="I38">
            <v>775.962</v>
          </cell>
          <cell r="J38">
            <v>0</v>
          </cell>
          <cell r="K38">
            <v>0</v>
          </cell>
          <cell r="L38">
            <v>0</v>
          </cell>
          <cell r="M38">
            <v>0</v>
          </cell>
          <cell r="N38">
            <v>0</v>
          </cell>
          <cell r="O38">
            <v>0</v>
          </cell>
          <cell r="P38">
            <v>4589</v>
          </cell>
          <cell r="Q38">
            <v>2363.756</v>
          </cell>
          <cell r="R38">
            <v>2363.756</v>
          </cell>
          <cell r="S38">
            <v>0</v>
          </cell>
          <cell r="T38">
            <v>0</v>
          </cell>
          <cell r="U38">
            <v>2225.244</v>
          </cell>
          <cell r="V38">
            <v>3139.718</v>
          </cell>
          <cell r="W38">
            <v>0</v>
          </cell>
          <cell r="X38">
            <v>7019.505999999999</v>
          </cell>
        </row>
        <row r="39">
          <cell r="B39" t="str">
            <v>Cảnh Quan làng hoa Sa Nhiên - Cai Dao</v>
          </cell>
          <cell r="C39" t="str">
            <v>KBSĐ</v>
          </cell>
          <cell r="D39">
            <v>7583497</v>
          </cell>
          <cell r="E39">
            <v>8794.741</v>
          </cell>
          <cell r="F39">
            <v>4655.75</v>
          </cell>
          <cell r="G39">
            <v>775.962</v>
          </cell>
          <cell r="I39">
            <v>775.962</v>
          </cell>
          <cell r="O39">
            <v>0</v>
          </cell>
          <cell r="P39">
            <v>2393</v>
          </cell>
          <cell r="Q39">
            <v>2363.756</v>
          </cell>
          <cell r="R39">
            <v>2363.756</v>
          </cell>
          <cell r="U39">
            <v>29.244000000000142</v>
          </cell>
          <cell r="V39">
            <v>3139.718</v>
          </cell>
          <cell r="W39">
            <v>0</v>
          </cell>
          <cell r="X39">
            <v>7019.505999999999</v>
          </cell>
        </row>
        <row r="40">
          <cell r="B40" t="str">
            <v>Hạ tầng phát triển du lịch thành phố Sa Đéc (hạng mục: đường Lê Lợi và đường Ông Thung Cai Dao)- đối ứng vốn tỉnh hỗ trợ</v>
          </cell>
          <cell r="C40" t="str">
            <v>KBSĐ</v>
          </cell>
          <cell r="D40">
            <v>7563027</v>
          </cell>
          <cell r="E40">
            <v>30021.238</v>
          </cell>
          <cell r="F40" t="str">
            <v> </v>
          </cell>
          <cell r="P40">
            <v>2196</v>
          </cell>
          <cell r="U40">
            <v>2196</v>
          </cell>
          <cell r="V40">
            <v>0</v>
          </cell>
          <cell r="W40">
            <v>0</v>
          </cell>
        </row>
        <row r="41">
          <cell r="B41" t="str">
            <v> - Giao thông</v>
          </cell>
          <cell r="E41">
            <v>246689.75199999998</v>
          </cell>
          <cell r="F41">
            <v>20007.551</v>
          </cell>
          <cell r="G41">
            <v>10988.402999999998</v>
          </cell>
          <cell r="H41">
            <v>0</v>
          </cell>
          <cell r="I41">
            <v>9794.153999999999</v>
          </cell>
          <cell r="J41">
            <v>0</v>
          </cell>
          <cell r="K41">
            <v>0</v>
          </cell>
          <cell r="L41">
            <v>0</v>
          </cell>
          <cell r="M41">
            <v>0</v>
          </cell>
          <cell r="N41">
            <v>0</v>
          </cell>
          <cell r="O41">
            <v>0</v>
          </cell>
          <cell r="P41">
            <v>43889</v>
          </cell>
          <cell r="Q41">
            <v>39809.217000000004</v>
          </cell>
          <cell r="R41">
            <v>33234.123</v>
          </cell>
          <cell r="S41">
            <v>6575.094</v>
          </cell>
          <cell r="T41">
            <v>0</v>
          </cell>
          <cell r="U41">
            <v>4079.7829999999994</v>
          </cell>
          <cell r="V41">
            <v>43028.277</v>
          </cell>
          <cell r="W41">
            <v>7769.343</v>
          </cell>
          <cell r="X41">
            <v>59816.768000000004</v>
          </cell>
        </row>
        <row r="42">
          <cell r="B42" t="str">
            <v>Đường chùa giáp ranh huyện Châu Thành</v>
          </cell>
          <cell r="C42" t="str">
            <v>KBSĐ</v>
          </cell>
          <cell r="D42">
            <v>7540469</v>
          </cell>
          <cell r="E42">
            <v>2905.786</v>
          </cell>
          <cell r="F42">
            <v>2290.534</v>
          </cell>
          <cell r="G42">
            <v>34.981</v>
          </cell>
          <cell r="I42">
            <v>34.981</v>
          </cell>
          <cell r="O42">
            <v>0</v>
          </cell>
          <cell r="U42">
            <v>0</v>
          </cell>
          <cell r="V42">
            <v>34.981</v>
          </cell>
          <cell r="W42">
            <v>0</v>
          </cell>
          <cell r="X42">
            <v>2290.534</v>
          </cell>
        </row>
        <row r="43">
          <cell r="B43" t="str">
            <v>Đường Xếp Mương Đào</v>
          </cell>
          <cell r="C43" t="str">
            <v>KBSĐ</v>
          </cell>
          <cell r="D43">
            <v>7545080</v>
          </cell>
          <cell r="E43">
            <v>7445.411</v>
          </cell>
          <cell r="F43">
            <v>300</v>
          </cell>
          <cell r="I43">
            <v>0</v>
          </cell>
          <cell r="K43">
            <v>0</v>
          </cell>
          <cell r="O43">
            <v>0</v>
          </cell>
          <cell r="P43">
            <v>538</v>
          </cell>
          <cell r="Q43">
            <v>532.508</v>
          </cell>
          <cell r="R43">
            <v>532.508</v>
          </cell>
          <cell r="U43">
            <v>5.491999999999962</v>
          </cell>
          <cell r="V43">
            <v>532.508</v>
          </cell>
          <cell r="W43">
            <v>0</v>
          </cell>
          <cell r="X43">
            <v>832.508</v>
          </cell>
        </row>
        <row r="44">
          <cell r="B44" t="str">
            <v>Đường từ Nguyễn Sinh Sắc đến Khu Liên hợp thể dục thể thao</v>
          </cell>
          <cell r="C44" t="str">
            <v>KBSĐ</v>
          </cell>
          <cell r="D44">
            <v>7562657</v>
          </cell>
          <cell r="E44">
            <v>45252.975</v>
          </cell>
          <cell r="F44">
            <v>14000</v>
          </cell>
          <cell r="G44">
            <v>10490.362</v>
          </cell>
          <cell r="I44">
            <v>9296.113</v>
          </cell>
          <cell r="O44">
            <v>0</v>
          </cell>
          <cell r="P44">
            <v>20000</v>
          </cell>
          <cell r="Q44">
            <v>19987.363</v>
          </cell>
          <cell r="R44">
            <v>19587.363</v>
          </cell>
          <cell r="S44">
            <v>400</v>
          </cell>
          <cell r="U44">
            <v>12.636999999998807</v>
          </cell>
          <cell r="V44">
            <v>28883.476000000002</v>
          </cell>
          <cell r="W44">
            <v>1594.2489999999998</v>
          </cell>
          <cell r="X44">
            <v>33987.363</v>
          </cell>
        </row>
        <row r="45">
          <cell r="B45" t="str">
            <v>Cầu Tư Ú</v>
          </cell>
          <cell r="C45" t="str">
            <v>KBSĐ</v>
          </cell>
          <cell r="D45">
            <v>7600800</v>
          </cell>
          <cell r="E45">
            <v>2995</v>
          </cell>
          <cell r="F45">
            <v>1995.535</v>
          </cell>
          <cell r="G45">
            <v>463.06</v>
          </cell>
          <cell r="I45">
            <v>463.06</v>
          </cell>
          <cell r="O45">
            <v>0</v>
          </cell>
          <cell r="P45">
            <v>1457</v>
          </cell>
          <cell r="Q45">
            <v>1426.995</v>
          </cell>
          <cell r="R45">
            <v>1426.995</v>
          </cell>
          <cell r="U45">
            <v>30.00500000000011</v>
          </cell>
          <cell r="V45">
            <v>1890.0549999999998</v>
          </cell>
          <cell r="W45">
            <v>0</v>
          </cell>
          <cell r="X45">
            <v>3422.5299999999997</v>
          </cell>
        </row>
        <row r="46">
          <cell r="B46" t="str">
            <v>Đường rạch Trâm Bầu</v>
          </cell>
          <cell r="C46" t="str">
            <v>KBSĐ</v>
          </cell>
          <cell r="D46">
            <v>7613511</v>
          </cell>
          <cell r="E46">
            <v>3945</v>
          </cell>
          <cell r="F46">
            <v>390.357</v>
          </cell>
          <cell r="I46">
            <v>0</v>
          </cell>
          <cell r="J46">
            <v>0</v>
          </cell>
          <cell r="K46">
            <v>0</v>
          </cell>
          <cell r="L46">
            <v>0</v>
          </cell>
          <cell r="M46">
            <v>0</v>
          </cell>
          <cell r="N46">
            <v>0</v>
          </cell>
          <cell r="O46">
            <v>0</v>
          </cell>
          <cell r="P46">
            <v>1800</v>
          </cell>
          <cell r="Q46">
            <v>1505.471</v>
          </cell>
          <cell r="R46">
            <v>656.348</v>
          </cell>
          <cell r="S46">
            <v>849.123</v>
          </cell>
          <cell r="U46">
            <v>294.529</v>
          </cell>
          <cell r="V46">
            <v>656.348</v>
          </cell>
          <cell r="W46">
            <v>849.123</v>
          </cell>
          <cell r="X46">
            <v>1895.828</v>
          </cell>
        </row>
        <row r="47">
          <cell r="B47" t="str">
            <v>Mở rộng đường rạch Chùa bờ trái ( ĐT 848- Trường MG Tân An )</v>
          </cell>
          <cell r="C47" t="str">
            <v>KBSĐ</v>
          </cell>
          <cell r="D47">
            <v>7613510</v>
          </cell>
          <cell r="E47">
            <v>1983</v>
          </cell>
          <cell r="F47">
            <v>633.789</v>
          </cell>
          <cell r="I47">
            <v>0</v>
          </cell>
          <cell r="J47">
            <v>0</v>
          </cell>
          <cell r="K47">
            <v>0</v>
          </cell>
          <cell r="L47">
            <v>0</v>
          </cell>
          <cell r="M47">
            <v>0</v>
          </cell>
          <cell r="O47">
            <v>0</v>
          </cell>
          <cell r="P47">
            <v>1153</v>
          </cell>
          <cell r="Q47">
            <v>1107.993</v>
          </cell>
          <cell r="R47">
            <v>1107.993</v>
          </cell>
          <cell r="S47">
            <v>0</v>
          </cell>
          <cell r="T47">
            <v>0</v>
          </cell>
          <cell r="U47">
            <v>45.00700000000006</v>
          </cell>
          <cell r="V47">
            <v>1107.993</v>
          </cell>
          <cell r="W47">
            <v>0</v>
          </cell>
          <cell r="X47">
            <v>1741.782</v>
          </cell>
        </row>
        <row r="48">
          <cell r="B48" t="str">
            <v>Đường Cao mên trên bờ phải (đoạn từ tỉnh lộ ĐT 852 đến nhà Ông Huỳnh Văn Dương)</v>
          </cell>
          <cell r="C48" t="str">
            <v>KBSĐ</v>
          </cell>
          <cell r="D48">
            <v>7665010</v>
          </cell>
          <cell r="E48">
            <v>3691</v>
          </cell>
          <cell r="P48">
            <v>2404</v>
          </cell>
          <cell r="Q48">
            <v>2404</v>
          </cell>
          <cell r="R48">
            <v>1754.305</v>
          </cell>
          <cell r="S48">
            <v>649.6949999999999</v>
          </cell>
          <cell r="T48">
            <v>0</v>
          </cell>
          <cell r="U48">
            <v>0</v>
          </cell>
          <cell r="V48">
            <v>1754.305</v>
          </cell>
          <cell r="W48">
            <v>649.6949999999999</v>
          </cell>
          <cell r="X48">
            <v>2404</v>
          </cell>
        </row>
        <row r="49">
          <cell r="B49" t="str">
            <v>Đường mới song song đường Nguyễn  Sinh Sắc (từ Hùng Vương - ĐT 848 nối dài)</v>
          </cell>
          <cell r="C49" t="str">
            <v>KBSĐ</v>
          </cell>
          <cell r="D49">
            <v>7479789</v>
          </cell>
          <cell r="E49">
            <v>97442</v>
          </cell>
          <cell r="F49">
            <v>397.336</v>
          </cell>
          <cell r="P49">
            <v>5791</v>
          </cell>
          <cell r="Q49">
            <v>5791</v>
          </cell>
          <cell r="R49">
            <v>5791</v>
          </cell>
          <cell r="S49">
            <v>0</v>
          </cell>
          <cell r="T49">
            <v>0</v>
          </cell>
          <cell r="U49">
            <v>0</v>
          </cell>
          <cell r="V49">
            <v>5791</v>
          </cell>
          <cell r="W49">
            <v>0</v>
          </cell>
          <cell r="X49">
            <v>6188.336</v>
          </cell>
        </row>
        <row r="50">
          <cell r="B50" t="str">
            <v>Đường vào khu du lịch làng hoa kiểng thành phố Sa Đéc</v>
          </cell>
          <cell r="C50" t="str">
            <v>KBSĐ</v>
          </cell>
          <cell r="D50">
            <v>7487376</v>
          </cell>
          <cell r="E50">
            <v>81029.58</v>
          </cell>
          <cell r="P50">
            <v>10746</v>
          </cell>
          <cell r="Q50">
            <v>7053.887</v>
          </cell>
          <cell r="R50">
            <v>2377.611</v>
          </cell>
          <cell r="S50">
            <v>4676.276</v>
          </cell>
          <cell r="T50">
            <v>0</v>
          </cell>
          <cell r="U50">
            <v>3692.1130000000003</v>
          </cell>
          <cell r="V50">
            <v>2377.611</v>
          </cell>
          <cell r="W50">
            <v>4676.276</v>
          </cell>
          <cell r="X50">
            <v>7053.887</v>
          </cell>
        </row>
        <row r="51">
          <cell r="B51" t="str">
            <v> - Cấp nước và dịch vụ công cộng</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row>
        <row r="54">
          <cell r="B54" t="str">
            <v> - Xử lý nước thải</v>
          </cell>
          <cell r="E54">
            <v>36417</v>
          </cell>
          <cell r="F54">
            <v>19750.872</v>
          </cell>
          <cell r="G54">
            <v>0</v>
          </cell>
          <cell r="H54">
            <v>0</v>
          </cell>
          <cell r="I54">
            <v>0</v>
          </cell>
          <cell r="J54">
            <v>0</v>
          </cell>
          <cell r="K54">
            <v>0</v>
          </cell>
          <cell r="L54">
            <v>0</v>
          </cell>
          <cell r="M54">
            <v>0</v>
          </cell>
          <cell r="N54">
            <v>0</v>
          </cell>
          <cell r="O54">
            <v>0</v>
          </cell>
          <cell r="P54">
            <v>991</v>
          </cell>
          <cell r="Q54">
            <v>843.971</v>
          </cell>
          <cell r="R54">
            <v>843.971</v>
          </cell>
          <cell r="S54">
            <v>0</v>
          </cell>
          <cell r="T54">
            <v>0</v>
          </cell>
          <cell r="U54">
            <v>147.029</v>
          </cell>
          <cell r="V54">
            <v>843.971</v>
          </cell>
          <cell r="W54">
            <v>0</v>
          </cell>
          <cell r="X54">
            <v>20594.843</v>
          </cell>
        </row>
        <row r="55">
          <cell r="B55" t="str">
            <v>Dự án xử lý nước thải, chất thải cải thiện môi trường làng nghề sản xuất bột chăn nuôi xã Tân Phú Đông</v>
          </cell>
          <cell r="C55" t="str">
            <v>KBSĐ</v>
          </cell>
          <cell r="D55">
            <v>7350488</v>
          </cell>
          <cell r="E55">
            <v>36417</v>
          </cell>
          <cell r="F55">
            <v>19750.872</v>
          </cell>
          <cell r="P55">
            <v>991</v>
          </cell>
          <cell r="Q55">
            <v>843.971</v>
          </cell>
          <cell r="R55">
            <v>843.971</v>
          </cell>
          <cell r="S55">
            <v>0</v>
          </cell>
          <cell r="T55">
            <v>0</v>
          </cell>
          <cell r="U55">
            <v>147.029</v>
          </cell>
          <cell r="V55">
            <v>843.971</v>
          </cell>
          <cell r="W55">
            <v>0</v>
          </cell>
          <cell r="X55">
            <v>20594.843</v>
          </cell>
        </row>
        <row r="56">
          <cell r="B56" t="str">
            <v> - An ninh quốc phòng</v>
          </cell>
          <cell r="E56">
            <v>6451.631</v>
          </cell>
          <cell r="F56">
            <v>0</v>
          </cell>
          <cell r="G56">
            <v>0</v>
          </cell>
          <cell r="H56">
            <v>0</v>
          </cell>
          <cell r="I56">
            <v>0</v>
          </cell>
          <cell r="J56">
            <v>0</v>
          </cell>
          <cell r="K56">
            <v>0</v>
          </cell>
          <cell r="L56">
            <v>0</v>
          </cell>
          <cell r="M56">
            <v>0</v>
          </cell>
          <cell r="N56">
            <v>0</v>
          </cell>
          <cell r="O56">
            <v>0</v>
          </cell>
          <cell r="P56">
            <v>2613</v>
          </cell>
          <cell r="Q56">
            <v>2420.746</v>
          </cell>
          <cell r="R56">
            <v>2339.325</v>
          </cell>
          <cell r="S56">
            <v>81.421</v>
          </cell>
          <cell r="T56">
            <v>0</v>
          </cell>
          <cell r="U56">
            <v>192.2539999999999</v>
          </cell>
          <cell r="V56">
            <v>2339.325</v>
          </cell>
          <cell r="W56">
            <v>81.421</v>
          </cell>
          <cell r="X56">
            <v>2420.746</v>
          </cell>
        </row>
        <row r="57">
          <cell r="B57" t="str">
            <v>Trụ sở làm việc Công an và Ban chỉ huy quân sự xã Tân Phú Đông</v>
          </cell>
          <cell r="C57" t="str">
            <v>KBSĐ</v>
          </cell>
          <cell r="D57">
            <v>7639894</v>
          </cell>
          <cell r="E57">
            <v>4453.631</v>
          </cell>
          <cell r="P57">
            <v>1450</v>
          </cell>
          <cell r="Q57">
            <v>1257.746</v>
          </cell>
          <cell r="R57">
            <v>1257.746</v>
          </cell>
          <cell r="S57">
            <v>0</v>
          </cell>
          <cell r="T57">
            <v>0</v>
          </cell>
          <cell r="U57">
            <v>192.2539999999999</v>
          </cell>
          <cell r="V57">
            <v>1257.746</v>
          </cell>
          <cell r="W57">
            <v>0</v>
          </cell>
          <cell r="X57">
            <v>1257.746</v>
          </cell>
        </row>
        <row r="58">
          <cell r="B58" t="str">
            <v>Ban chỉ huy Quân sự. Hạng mục: Xây dựng nhà ở tập trung cho huấn luyện LLDBĐV-DQTV</v>
          </cell>
          <cell r="C58" t="str">
            <v>KBSĐ</v>
          </cell>
          <cell r="D58">
            <v>7004686</v>
          </cell>
          <cell r="E58">
            <v>1998</v>
          </cell>
          <cell r="P58">
            <v>1163</v>
          </cell>
          <cell r="Q58">
            <v>1163</v>
          </cell>
          <cell r="R58">
            <v>1081.579</v>
          </cell>
          <cell r="S58">
            <v>81.421</v>
          </cell>
          <cell r="T58">
            <v>0</v>
          </cell>
          <cell r="U58">
            <v>0</v>
          </cell>
          <cell r="V58">
            <v>1081.579</v>
          </cell>
          <cell r="W58">
            <v>81.421</v>
          </cell>
          <cell r="X58">
            <v>1163</v>
          </cell>
        </row>
        <row r="59">
          <cell r="B59" t="str">
            <v> - Quản lý nhà nước</v>
          </cell>
          <cell r="E59">
            <v>25939</v>
          </cell>
          <cell r="F59">
            <v>15120.092</v>
          </cell>
          <cell r="G59">
            <v>124.83500000000001</v>
          </cell>
          <cell r="H59">
            <v>0</v>
          </cell>
          <cell r="I59">
            <v>124.83500000000001</v>
          </cell>
          <cell r="J59">
            <v>0</v>
          </cell>
          <cell r="K59">
            <v>0</v>
          </cell>
          <cell r="L59">
            <v>0</v>
          </cell>
          <cell r="M59">
            <v>0</v>
          </cell>
          <cell r="N59">
            <v>0</v>
          </cell>
          <cell r="O59">
            <v>0</v>
          </cell>
          <cell r="P59">
            <v>313</v>
          </cell>
          <cell r="Q59">
            <v>242.374</v>
          </cell>
          <cell r="R59">
            <v>242.374</v>
          </cell>
          <cell r="S59">
            <v>0</v>
          </cell>
          <cell r="T59">
            <v>0</v>
          </cell>
          <cell r="U59">
            <v>70.626</v>
          </cell>
          <cell r="V59">
            <v>367.209</v>
          </cell>
          <cell r="W59">
            <v>0</v>
          </cell>
          <cell r="X59">
            <v>15362.466</v>
          </cell>
        </row>
        <row r="60">
          <cell r="B60" t="str">
            <v> Trụ sở UBND TP Sa Đéc (nhà làm việc bộ phận tiếp nhận hồ sơ và trả kết quả)</v>
          </cell>
          <cell r="C60" t="str">
            <v>KBSĐ</v>
          </cell>
          <cell r="D60">
            <v>7402449</v>
          </cell>
          <cell r="E60">
            <v>14948</v>
          </cell>
          <cell r="F60">
            <v>10009.842</v>
          </cell>
          <cell r="G60">
            <v>31.804</v>
          </cell>
          <cell r="I60">
            <v>31.804</v>
          </cell>
          <cell r="O60">
            <v>0</v>
          </cell>
          <cell r="U60">
            <v>0</v>
          </cell>
          <cell r="V60">
            <v>31.804</v>
          </cell>
          <cell r="W60">
            <v>0</v>
          </cell>
          <cell r="X60">
            <v>10009.842</v>
          </cell>
        </row>
        <row r="61">
          <cell r="B61" t="str">
            <v>Trụ sở UBND phường 4 </v>
          </cell>
          <cell r="C61" t="str">
            <v>KBSĐ</v>
          </cell>
          <cell r="D61">
            <v>7580550</v>
          </cell>
          <cell r="E61">
            <v>5009</v>
          </cell>
          <cell r="F61">
            <v>361.918</v>
          </cell>
          <cell r="O61">
            <v>0</v>
          </cell>
          <cell r="P61">
            <v>313</v>
          </cell>
          <cell r="Q61">
            <v>242.374</v>
          </cell>
          <cell r="R61">
            <v>242.374</v>
          </cell>
          <cell r="U61">
            <v>70.626</v>
          </cell>
          <cell r="V61">
            <v>242.374</v>
          </cell>
          <cell r="W61">
            <v>0</v>
          </cell>
          <cell r="X61">
            <v>604.292</v>
          </cell>
        </row>
        <row r="62">
          <cell r="B62" t="str">
            <v>Khu hành chính UBND thành phố Sa Đéc, hạng mục: Cải tạo, sửa chữa</v>
          </cell>
          <cell r="C62" t="str">
            <v>KBSĐ</v>
          </cell>
          <cell r="D62">
            <v>7598699</v>
          </cell>
          <cell r="E62">
            <v>4321</v>
          </cell>
          <cell r="F62">
            <v>3648.551</v>
          </cell>
          <cell r="G62">
            <v>73.272</v>
          </cell>
          <cell r="I62">
            <v>73.272</v>
          </cell>
          <cell r="O62">
            <v>0</v>
          </cell>
          <cell r="P62">
            <v>0</v>
          </cell>
          <cell r="Q62">
            <v>0</v>
          </cell>
          <cell r="U62">
            <v>0</v>
          </cell>
          <cell r="V62">
            <v>73.272</v>
          </cell>
          <cell r="W62">
            <v>0</v>
          </cell>
          <cell r="X62">
            <v>3648.551</v>
          </cell>
        </row>
        <row r="63">
          <cell r="B63" t="str">
            <v>Mở rộng nâng cấp Trụ sở UBND phường Tân Quy Đông</v>
          </cell>
          <cell r="C63" t="str">
            <v>KBSĐ</v>
          </cell>
          <cell r="D63">
            <v>7613509</v>
          </cell>
          <cell r="E63">
            <v>1661</v>
          </cell>
          <cell r="F63">
            <v>1099.7810000000002</v>
          </cell>
          <cell r="G63">
            <v>19.759</v>
          </cell>
          <cell r="I63">
            <v>19.759</v>
          </cell>
          <cell r="O63">
            <v>0</v>
          </cell>
          <cell r="U63">
            <v>0</v>
          </cell>
          <cell r="V63">
            <v>19.759</v>
          </cell>
          <cell r="W63">
            <v>0</v>
          </cell>
          <cell r="X63">
            <v>1099.7810000000002</v>
          </cell>
        </row>
        <row r="64">
          <cell r="B64" t="str">
            <v> - Nông lâm thủy lợi</v>
          </cell>
        </row>
        <row r="65">
          <cell r="B65" t="str">
            <v> - Tất toán công trình</v>
          </cell>
          <cell r="E65">
            <v>333894.38009999995</v>
          </cell>
          <cell r="F65">
            <v>245093.877</v>
          </cell>
          <cell r="G65">
            <v>0</v>
          </cell>
          <cell r="H65">
            <v>0</v>
          </cell>
          <cell r="I65">
            <v>0</v>
          </cell>
          <cell r="J65">
            <v>0</v>
          </cell>
          <cell r="K65">
            <v>0</v>
          </cell>
          <cell r="L65">
            <v>0</v>
          </cell>
          <cell r="M65">
            <v>0</v>
          </cell>
          <cell r="N65">
            <v>0</v>
          </cell>
          <cell r="O65">
            <v>0</v>
          </cell>
          <cell r="P65">
            <v>1687.0730000000005</v>
          </cell>
          <cell r="Q65">
            <v>1687.0730000000005</v>
          </cell>
          <cell r="R65">
            <v>1687.0730000000005</v>
          </cell>
          <cell r="S65">
            <v>0</v>
          </cell>
          <cell r="T65">
            <v>0</v>
          </cell>
          <cell r="U65">
            <v>0</v>
          </cell>
          <cell r="V65">
            <v>1687.0730000000005</v>
          </cell>
          <cell r="W65">
            <v>0</v>
          </cell>
          <cell r="X65">
            <v>246780.95</v>
          </cell>
        </row>
        <row r="66">
          <cell r="B66" t="str">
            <v> Chợ cá Sa Đéc (vốn dân 50%, nhà nước 50%)</v>
          </cell>
          <cell r="C66" t="str">
            <v>KBSĐ</v>
          </cell>
          <cell r="D66">
            <v>7424352</v>
          </cell>
          <cell r="E66">
            <v>2921</v>
          </cell>
          <cell r="F66">
            <v>1252.836</v>
          </cell>
          <cell r="P66">
            <v>136.528</v>
          </cell>
          <cell r="Q66">
            <v>136.528</v>
          </cell>
          <cell r="R66">
            <v>136.528</v>
          </cell>
          <cell r="U66">
            <v>0</v>
          </cell>
          <cell r="V66">
            <v>136.528</v>
          </cell>
          <cell r="W66">
            <v>0</v>
          </cell>
          <cell r="X66">
            <v>1389.364</v>
          </cell>
        </row>
        <row r="67">
          <cell r="B67" t="str">
            <v> Chợ Nông sản thành phố (vốn dân 50%, nhà nước 50%)</v>
          </cell>
          <cell r="C67" t="str">
            <v>KBSĐ</v>
          </cell>
          <cell r="D67">
            <v>7527631</v>
          </cell>
          <cell r="E67">
            <v>6413</v>
          </cell>
          <cell r="F67">
            <v>2805.122</v>
          </cell>
          <cell r="P67">
            <v>58.049</v>
          </cell>
          <cell r="Q67">
            <v>58.049</v>
          </cell>
          <cell r="R67">
            <v>58.049</v>
          </cell>
          <cell r="U67">
            <v>0</v>
          </cell>
          <cell r="V67">
            <v>58.049</v>
          </cell>
          <cell r="W67">
            <v>0</v>
          </cell>
          <cell r="X67">
            <v>2863.171</v>
          </cell>
        </row>
        <row r="68">
          <cell r="B68" t="str">
            <v> Trụ sở UBND TP Sa Đéc (nhà làm việc bộ phận tiếp nhận hồ sơ và trả kết quả)</v>
          </cell>
          <cell r="C68" t="str">
            <v>KBSĐ</v>
          </cell>
          <cell r="D68">
            <v>7402449</v>
          </cell>
          <cell r="E68">
            <v>14948</v>
          </cell>
          <cell r="O68">
            <v>0</v>
          </cell>
          <cell r="P68">
            <v>27.641</v>
          </cell>
          <cell r="Q68">
            <v>27.641</v>
          </cell>
          <cell r="R68">
            <v>27.641</v>
          </cell>
          <cell r="U68">
            <v>0</v>
          </cell>
          <cell r="V68">
            <v>27.641</v>
          </cell>
          <cell r="W68">
            <v>0</v>
          </cell>
          <cell r="X68">
            <v>27.641</v>
          </cell>
        </row>
        <row r="69">
          <cell r="B69" t="str">
            <v>Đường chùa giáp ranh huyện Châu Thành</v>
          </cell>
          <cell r="C69" t="str">
            <v>KBSĐ</v>
          </cell>
          <cell r="D69">
            <v>7540469</v>
          </cell>
          <cell r="E69">
            <v>2905.786</v>
          </cell>
          <cell r="O69">
            <v>0</v>
          </cell>
          <cell r="P69">
            <v>25.907</v>
          </cell>
          <cell r="Q69">
            <v>25.907</v>
          </cell>
          <cell r="R69">
            <v>25.907</v>
          </cell>
          <cell r="U69">
            <v>0</v>
          </cell>
          <cell r="V69">
            <v>25.907</v>
          </cell>
          <cell r="W69">
            <v>0</v>
          </cell>
          <cell r="X69">
            <v>25.907</v>
          </cell>
        </row>
        <row r="70">
          <cell r="B70" t="str">
            <v>Cầu Rạch Rắn</v>
          </cell>
          <cell r="C70" t="str">
            <v>KBSĐ</v>
          </cell>
          <cell r="D70">
            <v>7316774</v>
          </cell>
          <cell r="E70">
            <v>26869.555</v>
          </cell>
          <cell r="F70">
            <v>20356.049</v>
          </cell>
          <cell r="P70">
            <v>289.008</v>
          </cell>
          <cell r="Q70">
            <v>289.008</v>
          </cell>
          <cell r="R70">
            <v>289.008</v>
          </cell>
          <cell r="U70">
            <v>0</v>
          </cell>
          <cell r="V70">
            <v>289.008</v>
          </cell>
          <cell r="W70">
            <v>0</v>
          </cell>
          <cell r="X70">
            <v>20645.057</v>
          </cell>
        </row>
        <row r="71">
          <cell r="B71" t="str">
            <v>Đường Lòng Lai bờ phải đoạn 2</v>
          </cell>
          <cell r="C71" t="str">
            <v>KBSĐ</v>
          </cell>
          <cell r="D71">
            <v>7511922</v>
          </cell>
          <cell r="E71">
            <v>5509.296</v>
          </cell>
          <cell r="F71">
            <v>2797.7540000000004</v>
          </cell>
          <cell r="P71">
            <v>33.123</v>
          </cell>
          <cell r="Q71">
            <v>33.123</v>
          </cell>
          <cell r="R71">
            <v>33.123</v>
          </cell>
          <cell r="U71">
            <v>0</v>
          </cell>
          <cell r="V71">
            <v>33.123</v>
          </cell>
          <cell r="W71">
            <v>0</v>
          </cell>
          <cell r="X71">
            <v>2830.8770000000004</v>
          </cell>
        </row>
        <row r="72">
          <cell r="B72" t="str">
            <v>Cầu Rạch Bà Điếc</v>
          </cell>
          <cell r="C72" t="str">
            <v>KBSĐ</v>
          </cell>
          <cell r="D72">
            <v>7557549</v>
          </cell>
          <cell r="E72">
            <v>1793.076</v>
          </cell>
          <cell r="F72">
            <v>1563.567</v>
          </cell>
          <cell r="P72">
            <v>15.114</v>
          </cell>
          <cell r="Q72">
            <v>15.114</v>
          </cell>
          <cell r="R72">
            <v>15.114</v>
          </cell>
          <cell r="U72">
            <v>0</v>
          </cell>
          <cell r="V72">
            <v>15.114</v>
          </cell>
          <cell r="W72">
            <v>0</v>
          </cell>
          <cell r="X72">
            <v>1578.681</v>
          </cell>
        </row>
        <row r="73">
          <cell r="B73" t="str">
            <v>Đường cặp rạch nàng Hai (cây me) Trần Phú đến Nguyễn Văn Phát</v>
          </cell>
          <cell r="C73" t="str">
            <v>KBSĐ</v>
          </cell>
          <cell r="D73">
            <v>7427242</v>
          </cell>
          <cell r="E73">
            <v>5160.762</v>
          </cell>
          <cell r="F73">
            <v>3081.231</v>
          </cell>
          <cell r="P73">
            <v>21.203</v>
          </cell>
          <cell r="Q73">
            <v>21.203</v>
          </cell>
          <cell r="R73">
            <v>21.203</v>
          </cell>
          <cell r="U73">
            <v>0</v>
          </cell>
          <cell r="V73">
            <v>21.203</v>
          </cell>
          <cell r="W73">
            <v>0</v>
          </cell>
          <cell r="X73">
            <v>3102.434</v>
          </cell>
        </row>
        <row r="74">
          <cell r="B74" t="str">
            <v>Đường kênh Đốc Phủ Hiền bờ phải nối dài</v>
          </cell>
          <cell r="C74" t="str">
            <v>KBSĐ</v>
          </cell>
          <cell r="D74">
            <v>7498677</v>
          </cell>
          <cell r="E74">
            <v>1786.27</v>
          </cell>
          <cell r="F74">
            <v>1004.542</v>
          </cell>
          <cell r="P74">
            <v>7.468</v>
          </cell>
          <cell r="Q74">
            <v>7.468</v>
          </cell>
          <cell r="R74">
            <v>7.468</v>
          </cell>
          <cell r="U74">
            <v>0</v>
          </cell>
          <cell r="V74">
            <v>7.468</v>
          </cell>
          <cell r="W74">
            <v>0</v>
          </cell>
          <cell r="X74">
            <v>1012.01</v>
          </cell>
        </row>
        <row r="75">
          <cell r="B75" t="str">
            <v>Khu dân cư nhà ở xã hội Tân Phú Đông (Phú Hòa)</v>
          </cell>
          <cell r="C75" t="str">
            <v>KBSĐ</v>
          </cell>
          <cell r="D75">
            <v>7434352</v>
          </cell>
          <cell r="E75">
            <v>13382.875</v>
          </cell>
          <cell r="F75">
            <v>11170.833999999999</v>
          </cell>
          <cell r="P75">
            <v>48.61</v>
          </cell>
          <cell r="Q75">
            <v>48.61</v>
          </cell>
          <cell r="R75">
            <v>48.61</v>
          </cell>
          <cell r="U75">
            <v>0</v>
          </cell>
          <cell r="V75">
            <v>48.61</v>
          </cell>
          <cell r="W75">
            <v>0</v>
          </cell>
          <cell r="X75">
            <v>11219.444</v>
          </cell>
        </row>
        <row r="76">
          <cell r="B76" t="str">
            <v>Tuyền cấp nước bờ trái QL 80 (cầu Đốc Phủ Hiền - Đội Thơ)</v>
          </cell>
          <cell r="C76" t="str">
            <v>KBSĐ</v>
          </cell>
          <cell r="D76">
            <v>7553437</v>
          </cell>
          <cell r="E76">
            <v>2715</v>
          </cell>
          <cell r="F76">
            <v>2318.571</v>
          </cell>
          <cell r="P76">
            <v>13.253</v>
          </cell>
          <cell r="Q76">
            <v>13.253</v>
          </cell>
          <cell r="R76">
            <v>13.253</v>
          </cell>
          <cell r="U76">
            <v>0</v>
          </cell>
          <cell r="V76">
            <v>13.253</v>
          </cell>
          <cell r="W76">
            <v>0</v>
          </cell>
          <cell r="X76">
            <v>2331.824</v>
          </cell>
        </row>
        <row r="77">
          <cell r="B77" t="str">
            <v> Hạ thế điện đường Ô bao tập đoàn 9 (vàm bà Chủ - vàm Cai Khoa).</v>
          </cell>
          <cell r="C77" t="str">
            <v>KBSĐ</v>
          </cell>
          <cell r="D77">
            <v>7564190</v>
          </cell>
          <cell r="E77">
            <v>763.36</v>
          </cell>
          <cell r="F77">
            <v>619.6129999999999</v>
          </cell>
          <cell r="P77">
            <v>14.914</v>
          </cell>
          <cell r="Q77">
            <v>14.914</v>
          </cell>
          <cell r="R77">
            <v>14.914</v>
          </cell>
          <cell r="U77">
            <v>0</v>
          </cell>
          <cell r="V77">
            <v>14.914</v>
          </cell>
          <cell r="W77">
            <v>0</v>
          </cell>
          <cell r="X77">
            <v>634.5269999999999</v>
          </cell>
        </row>
        <row r="78">
          <cell r="B78" t="str">
            <v>Đường Cái Bè</v>
          </cell>
          <cell r="C78" t="str">
            <v>KBSĐ</v>
          </cell>
          <cell r="D78">
            <v>7430212</v>
          </cell>
          <cell r="E78">
            <v>3184.449</v>
          </cell>
          <cell r="F78">
            <v>2039.849</v>
          </cell>
          <cell r="P78">
            <v>58.503</v>
          </cell>
          <cell r="Q78">
            <v>58.503</v>
          </cell>
          <cell r="R78">
            <v>58.503</v>
          </cell>
          <cell r="U78">
            <v>0</v>
          </cell>
          <cell r="V78">
            <v>58.503</v>
          </cell>
          <cell r="W78">
            <v>0</v>
          </cell>
          <cell r="X78">
            <v>2098.352</v>
          </cell>
        </row>
        <row r="79">
          <cell r="B79" t="str">
            <v>Khu trung tâm mua sắm Phú Mỹ, hạng mục: Đường giao thông từ đường Nguyễn Sinh Sắc đến dự án Tổ Ong vàng và đường Đ-03 (nối từ đường Đ-01 đến đường Đ-02)</v>
          </cell>
          <cell r="C79" t="str">
            <v>KBSĐ</v>
          </cell>
          <cell r="D79">
            <v>7617700</v>
          </cell>
          <cell r="E79">
            <v>8453.908</v>
          </cell>
          <cell r="F79">
            <v>7272.903</v>
          </cell>
          <cell r="P79">
            <v>81.544</v>
          </cell>
          <cell r="Q79">
            <v>81.544</v>
          </cell>
          <cell r="R79">
            <v>81.544</v>
          </cell>
          <cell r="U79">
            <v>0</v>
          </cell>
          <cell r="V79">
            <v>81.544</v>
          </cell>
          <cell r="W79">
            <v>0</v>
          </cell>
          <cell r="X79">
            <v>7354.447</v>
          </cell>
        </row>
        <row r="80">
          <cell r="B80" t="str">
            <v>Đường cặp rạch nàng Hai - cây me (Nguyễn Văn Phát-cầu Rạch Rẫy)</v>
          </cell>
          <cell r="C80" t="str">
            <v>KBSĐ</v>
          </cell>
          <cell r="D80">
            <v>7427247</v>
          </cell>
          <cell r="E80">
            <v>4117.52</v>
          </cell>
          <cell r="F80">
            <v>1904.4569999999999</v>
          </cell>
          <cell r="P80">
            <v>14.537</v>
          </cell>
          <cell r="Q80">
            <v>14.537</v>
          </cell>
          <cell r="R80">
            <v>14.537</v>
          </cell>
          <cell r="U80">
            <v>0</v>
          </cell>
          <cell r="V80">
            <v>14.537</v>
          </cell>
          <cell r="W80">
            <v>0</v>
          </cell>
          <cell r="X80">
            <v>1918.994</v>
          </cell>
        </row>
        <row r="81">
          <cell r="A81" t="str">
            <v> </v>
          </cell>
          <cell r="B81" t="str">
            <v>Đường Sa Nhiên Cai Dao</v>
          </cell>
          <cell r="C81" t="str">
            <v>KBSĐ</v>
          </cell>
          <cell r="D81">
            <v>7285871</v>
          </cell>
          <cell r="E81">
            <v>14984.338</v>
          </cell>
          <cell r="F81">
            <v>14629.786</v>
          </cell>
          <cell r="P81">
            <v>9.441</v>
          </cell>
          <cell r="Q81">
            <v>9.441</v>
          </cell>
          <cell r="R81">
            <v>9.441</v>
          </cell>
          <cell r="U81">
            <v>0</v>
          </cell>
          <cell r="V81">
            <v>9.441</v>
          </cell>
          <cell r="W81">
            <v>0</v>
          </cell>
          <cell r="X81">
            <v>14639.227</v>
          </cell>
        </row>
        <row r="82">
          <cell r="B82" t="str">
            <v>Đường cặp rạch nàng Hai - cây me (HTM-TTN)</v>
          </cell>
          <cell r="C82" t="str">
            <v>KBSĐ</v>
          </cell>
          <cell r="D82">
            <v>7426048</v>
          </cell>
          <cell r="E82">
            <v>7491.693</v>
          </cell>
          <cell r="F82">
            <v>3445.225</v>
          </cell>
          <cell r="P82">
            <v>28.425</v>
          </cell>
          <cell r="Q82">
            <v>28.425</v>
          </cell>
          <cell r="R82">
            <v>28.425</v>
          </cell>
          <cell r="U82">
            <v>0</v>
          </cell>
          <cell r="V82">
            <v>28.425</v>
          </cell>
          <cell r="W82">
            <v>0</v>
          </cell>
          <cell r="X82">
            <v>3473.65</v>
          </cell>
        </row>
        <row r="83">
          <cell r="B83" t="str">
            <v>HT điện hạ thế xã Tân Phú Đông (đường tránh QL 80 - bên phải)</v>
          </cell>
          <cell r="C83" t="str">
            <v>KBSĐ</v>
          </cell>
          <cell r="D83">
            <v>7513261</v>
          </cell>
          <cell r="E83">
            <v>1174</v>
          </cell>
          <cell r="F83">
            <v>797.298</v>
          </cell>
          <cell r="P83">
            <v>6.017</v>
          </cell>
          <cell r="Q83">
            <v>6.017</v>
          </cell>
          <cell r="R83">
            <v>6.017</v>
          </cell>
          <cell r="U83">
            <v>0</v>
          </cell>
          <cell r="V83">
            <v>6.017</v>
          </cell>
          <cell r="W83">
            <v>0</v>
          </cell>
          <cell r="X83">
            <v>803.315</v>
          </cell>
        </row>
        <row r="84">
          <cell r="B84" t="str">
            <v>Đường cặp rạch Bình Tiên</v>
          </cell>
          <cell r="C84" t="str">
            <v>KBSĐ</v>
          </cell>
          <cell r="D84">
            <v>7464372</v>
          </cell>
          <cell r="E84">
            <v>7698.18</v>
          </cell>
          <cell r="F84">
            <v>5231.709</v>
          </cell>
          <cell r="P84">
            <v>32.664</v>
          </cell>
          <cell r="Q84">
            <v>32.664</v>
          </cell>
          <cell r="R84">
            <v>32.664</v>
          </cell>
          <cell r="U84">
            <v>0</v>
          </cell>
          <cell r="V84">
            <v>32.664</v>
          </cell>
          <cell r="W84">
            <v>0</v>
          </cell>
          <cell r="X84">
            <v>5264.373</v>
          </cell>
        </row>
        <row r="85">
          <cell r="B85" t="str">
            <v>Đường Ngã Bát bờ trái đoạn 3</v>
          </cell>
          <cell r="C85" t="str">
            <v>KBSĐ</v>
          </cell>
          <cell r="D85">
            <v>7498685</v>
          </cell>
          <cell r="E85">
            <v>3670.8921</v>
          </cell>
          <cell r="F85">
            <v>3130.232</v>
          </cell>
          <cell r="P85">
            <v>22.292</v>
          </cell>
          <cell r="Q85">
            <v>22.292</v>
          </cell>
          <cell r="R85">
            <v>22.292</v>
          </cell>
          <cell r="U85">
            <v>0</v>
          </cell>
          <cell r="V85">
            <v>22.292</v>
          </cell>
          <cell r="W85">
            <v>0</v>
          </cell>
          <cell r="X85">
            <v>3152.524</v>
          </cell>
        </row>
        <row r="86">
          <cell r="B86" t="str">
            <v>Cầu + Đường Tôn Đức Thắng nối dài </v>
          </cell>
          <cell r="C86" t="str">
            <v>KBSĐ</v>
          </cell>
          <cell r="D86">
            <v>7477364</v>
          </cell>
          <cell r="E86">
            <v>25796</v>
          </cell>
          <cell r="F86">
            <v>228.105</v>
          </cell>
          <cell r="P86">
            <v>67.249</v>
          </cell>
          <cell r="Q86">
            <v>67.249</v>
          </cell>
          <cell r="R86">
            <v>67.249</v>
          </cell>
          <cell r="V86">
            <v>67.249</v>
          </cell>
          <cell r="W86">
            <v>0</v>
          </cell>
          <cell r="X86">
            <v>295.354</v>
          </cell>
        </row>
        <row r="87">
          <cell r="B87" t="str">
            <v>Bãi đỗ xe làng hoa ( Bồi thường + chi phí chuẩn bị đầu tư)</v>
          </cell>
          <cell r="C87" t="str">
            <v>KBSĐ</v>
          </cell>
          <cell r="D87">
            <v>7589654</v>
          </cell>
          <cell r="E87">
            <v>4557.782</v>
          </cell>
          <cell r="F87">
            <v>4220.006</v>
          </cell>
          <cell r="P87">
            <v>22.094</v>
          </cell>
          <cell r="Q87">
            <v>22.094</v>
          </cell>
          <cell r="R87">
            <v>22.094</v>
          </cell>
          <cell r="U87">
            <v>0</v>
          </cell>
          <cell r="V87">
            <v>22.094</v>
          </cell>
          <cell r="W87">
            <v>0</v>
          </cell>
          <cell r="X87">
            <v>4242.1</v>
          </cell>
        </row>
        <row r="88">
          <cell r="B88" t="str">
            <v>Mở rộng đường Ngã Cạy bờ trái</v>
          </cell>
          <cell r="C88" t="str">
            <v>KBSĐ</v>
          </cell>
          <cell r="D88">
            <v>7565726</v>
          </cell>
          <cell r="E88">
            <v>5832</v>
          </cell>
          <cell r="F88">
            <v>4906.548</v>
          </cell>
          <cell r="P88">
            <v>377.759</v>
          </cell>
          <cell r="Q88">
            <v>377.759</v>
          </cell>
          <cell r="R88">
            <v>377.759</v>
          </cell>
          <cell r="U88">
            <v>0</v>
          </cell>
          <cell r="V88">
            <v>377.759</v>
          </cell>
          <cell r="W88">
            <v>0</v>
          </cell>
          <cell r="X88">
            <v>5284.307</v>
          </cell>
        </row>
        <row r="89">
          <cell r="B89" t="str">
            <v>Mở rộng đường rạch Chùa bờ trái ( ĐT 848- cầu Ba Nhạn)</v>
          </cell>
          <cell r="C89" t="str">
            <v>KBSĐ</v>
          </cell>
          <cell r="D89">
            <v>7557544</v>
          </cell>
          <cell r="E89">
            <v>2889.367</v>
          </cell>
          <cell r="F89">
            <v>1754.642</v>
          </cell>
          <cell r="P89">
            <v>6.381</v>
          </cell>
          <cell r="Q89">
            <v>6.381</v>
          </cell>
          <cell r="R89">
            <v>6.381</v>
          </cell>
          <cell r="U89">
            <v>0</v>
          </cell>
          <cell r="V89">
            <v>6.381</v>
          </cell>
          <cell r="W89">
            <v>0</v>
          </cell>
          <cell r="X89">
            <v>1761.0230000000001</v>
          </cell>
        </row>
        <row r="90">
          <cell r="B90" t="str">
            <v>Đường rạch Cao Mên (từ ĐT 852 đến cầu Miễu)</v>
          </cell>
          <cell r="C90" t="str">
            <v>KBSĐ</v>
          </cell>
          <cell r="D90">
            <v>7565466</v>
          </cell>
          <cell r="E90">
            <v>1118.959</v>
          </cell>
          <cell r="F90">
            <v>1061.874</v>
          </cell>
          <cell r="P90">
            <v>3.968</v>
          </cell>
          <cell r="Q90">
            <v>3.968</v>
          </cell>
          <cell r="R90">
            <v>3.968</v>
          </cell>
          <cell r="U90">
            <v>0</v>
          </cell>
          <cell r="V90">
            <v>3.968</v>
          </cell>
          <cell r="W90">
            <v>0</v>
          </cell>
          <cell r="X90">
            <v>1065.842</v>
          </cell>
        </row>
        <row r="91">
          <cell r="B91" t="str">
            <v>Đường Ngã Bát bờ trái đoạn 2</v>
          </cell>
          <cell r="C91" t="str">
            <v>KBSĐ</v>
          </cell>
          <cell r="D91">
            <v>7431808</v>
          </cell>
          <cell r="E91">
            <v>7924.031</v>
          </cell>
          <cell r="F91">
            <v>4107.465</v>
          </cell>
          <cell r="P91">
            <v>38.937</v>
          </cell>
          <cell r="Q91">
            <v>38.937</v>
          </cell>
          <cell r="R91">
            <v>38.937</v>
          </cell>
          <cell r="U91">
            <v>0</v>
          </cell>
          <cell r="V91">
            <v>38.937</v>
          </cell>
          <cell r="W91">
            <v>0</v>
          </cell>
          <cell r="X91">
            <v>4146.402</v>
          </cell>
        </row>
        <row r="92">
          <cell r="B92" t="str">
            <v>Mở rộng đường cặp rạch Nàng Hai ( từ cầu Hồ Tùng Mậu- chùa Tây Hưng)</v>
          </cell>
          <cell r="C92" t="str">
            <v>KBSĐ</v>
          </cell>
          <cell r="D92">
            <v>7565471</v>
          </cell>
          <cell r="E92">
            <v>2779.304</v>
          </cell>
          <cell r="F92">
            <v>2430.882</v>
          </cell>
          <cell r="P92">
            <v>6.178</v>
          </cell>
          <cell r="Q92">
            <v>6.178</v>
          </cell>
          <cell r="R92">
            <v>6.178</v>
          </cell>
          <cell r="U92">
            <v>0</v>
          </cell>
          <cell r="V92">
            <v>6.178</v>
          </cell>
          <cell r="W92">
            <v>0</v>
          </cell>
          <cell r="X92">
            <v>2437.06</v>
          </cell>
        </row>
        <row r="93">
          <cell r="B93" t="str">
            <v> Mở rộng đường rạch Chùa bờ phải ( ĐT 848- cầu Hai Đường)</v>
          </cell>
          <cell r="C93" t="str">
            <v>KBSĐ</v>
          </cell>
          <cell r="D93">
            <v>7565464</v>
          </cell>
          <cell r="E93">
            <v>2244.86</v>
          </cell>
          <cell r="F93">
            <v>2036.667</v>
          </cell>
          <cell r="P93">
            <v>9.192</v>
          </cell>
          <cell r="Q93">
            <v>9.192</v>
          </cell>
          <cell r="R93">
            <v>9.192</v>
          </cell>
          <cell r="U93">
            <v>0</v>
          </cell>
          <cell r="V93">
            <v>9.192</v>
          </cell>
          <cell r="W93">
            <v>0</v>
          </cell>
          <cell r="X93">
            <v>2045.859</v>
          </cell>
        </row>
        <row r="94">
          <cell r="B94" t="str">
            <v>Khu dân cư khóm 3 phường 2 </v>
          </cell>
          <cell r="C94" t="str">
            <v>KBSĐ</v>
          </cell>
          <cell r="D94">
            <v>7003702</v>
          </cell>
          <cell r="E94">
            <v>44760.376</v>
          </cell>
          <cell r="F94">
            <v>42333.415</v>
          </cell>
          <cell r="P94">
            <v>90.566</v>
          </cell>
          <cell r="Q94">
            <v>90.566</v>
          </cell>
          <cell r="R94">
            <v>90.566</v>
          </cell>
          <cell r="U94">
            <v>0</v>
          </cell>
          <cell r="V94">
            <v>90.566</v>
          </cell>
          <cell r="W94">
            <v>0</v>
          </cell>
          <cell r="X94">
            <v>42423.981</v>
          </cell>
        </row>
        <row r="95">
          <cell r="B95" t="str">
            <v>Khu dân cư thương mại thành phố Sa Đéc</v>
          </cell>
          <cell r="C95" t="str">
            <v>KBSĐ</v>
          </cell>
          <cell r="D95">
            <v>7003798</v>
          </cell>
          <cell r="E95">
            <v>100048.741</v>
          </cell>
          <cell r="F95">
            <v>96592.695</v>
          </cell>
          <cell r="P95">
            <v>120.508</v>
          </cell>
          <cell r="Q95">
            <v>120.508</v>
          </cell>
          <cell r="R95">
            <v>120.508</v>
          </cell>
          <cell r="U95">
            <v>0</v>
          </cell>
          <cell r="V95">
            <v>120.508</v>
          </cell>
          <cell r="W95">
            <v>0</v>
          </cell>
          <cell r="X95">
            <v>96713.20300000001</v>
          </cell>
        </row>
        <row r="96">
          <cell r="B96" t="str">
            <v>Vốn dự phòng chưa phân bổ (tất toán công trình)</v>
          </cell>
          <cell r="P96">
            <v>12.926999999999452</v>
          </cell>
          <cell r="U96">
            <v>12.926999999999452</v>
          </cell>
        </row>
        <row r="97">
          <cell r="A97" t="str">
            <v>II</v>
          </cell>
          <cell r="B97" t="str">
            <v>Vốn CTMT QG:</v>
          </cell>
        </row>
        <row r="98">
          <cell r="A98">
            <v>1</v>
          </cell>
          <cell r="B98" t="str">
            <v>Chương trình MTQG...</v>
          </cell>
        </row>
        <row r="99">
          <cell r="B99" t="str">
            <v>Dự án...</v>
          </cell>
        </row>
        <row r="100">
          <cell r="A100" t="str">
            <v>III</v>
          </cell>
          <cell r="B100" t="str">
            <v>Vốn CTMT:</v>
          </cell>
        </row>
        <row r="101">
          <cell r="A101">
            <v>1</v>
          </cell>
          <cell r="B101" t="str">
            <v>Chương trình...</v>
          </cell>
        </row>
        <row r="102">
          <cell r="B102" t="str">
            <v>Dự án...</v>
          </cell>
        </row>
        <row r="103">
          <cell r="A103" t="str">
            <v>IV</v>
          </cell>
          <cell r="B103" t="str">
            <v>Vốn từ nguồn thu tiền sử dụng đất:</v>
          </cell>
          <cell r="E103">
            <v>369283.01399999997</v>
          </cell>
          <cell r="F103">
            <v>51287.82399999999</v>
          </cell>
          <cell r="G103">
            <v>7317.448</v>
          </cell>
          <cell r="H103">
            <v>2.826</v>
          </cell>
          <cell r="I103">
            <v>6398.64</v>
          </cell>
          <cell r="J103">
            <v>0</v>
          </cell>
          <cell r="K103">
            <v>0</v>
          </cell>
          <cell r="L103">
            <v>0</v>
          </cell>
          <cell r="M103">
            <v>0</v>
          </cell>
          <cell r="N103">
            <v>0</v>
          </cell>
          <cell r="O103">
            <v>0</v>
          </cell>
          <cell r="P103">
            <v>62086</v>
          </cell>
          <cell r="Q103">
            <v>54875.621</v>
          </cell>
          <cell r="R103">
            <v>52864.38399999999</v>
          </cell>
          <cell r="S103">
            <v>2011.2369999999992</v>
          </cell>
          <cell r="T103">
            <v>0</v>
          </cell>
          <cell r="U103">
            <v>7210.379000000002</v>
          </cell>
          <cell r="V103">
            <v>59263.024</v>
          </cell>
          <cell r="W103">
            <v>2927.218999999999</v>
          </cell>
          <cell r="X103">
            <v>106160.61899999999</v>
          </cell>
        </row>
        <row r="104">
          <cell r="B104" t="str">
            <v>Vốn Chuẩn bị đầu tư</v>
          </cell>
          <cell r="E104">
            <v>82608</v>
          </cell>
          <cell r="F104">
            <v>67.059</v>
          </cell>
          <cell r="G104">
            <v>0</v>
          </cell>
          <cell r="H104">
            <v>0</v>
          </cell>
          <cell r="I104">
            <v>0</v>
          </cell>
          <cell r="J104">
            <v>0</v>
          </cell>
          <cell r="K104">
            <v>0</v>
          </cell>
          <cell r="L104">
            <v>0</v>
          </cell>
          <cell r="M104">
            <v>0</v>
          </cell>
          <cell r="N104">
            <v>0</v>
          </cell>
          <cell r="O104">
            <v>0</v>
          </cell>
          <cell r="P104">
            <v>328</v>
          </cell>
          <cell r="Q104">
            <v>327.997</v>
          </cell>
          <cell r="R104">
            <v>327.997</v>
          </cell>
          <cell r="S104">
            <v>0</v>
          </cell>
          <cell r="T104">
            <v>0</v>
          </cell>
          <cell r="U104">
            <v>0.002999999999985903</v>
          </cell>
          <cell r="V104">
            <v>327.997</v>
          </cell>
          <cell r="W104">
            <v>0</v>
          </cell>
          <cell r="X104">
            <v>395.05600000000004</v>
          </cell>
        </row>
        <row r="105">
          <cell r="B105" t="str">
            <v> - Giáo dục Đào tạo</v>
          </cell>
          <cell r="E105">
            <v>82608</v>
          </cell>
          <cell r="F105">
            <v>67.059</v>
          </cell>
          <cell r="G105">
            <v>0</v>
          </cell>
          <cell r="H105">
            <v>0</v>
          </cell>
          <cell r="I105">
            <v>0</v>
          </cell>
          <cell r="J105">
            <v>0</v>
          </cell>
          <cell r="K105">
            <v>0</v>
          </cell>
          <cell r="L105">
            <v>0</v>
          </cell>
          <cell r="M105">
            <v>0</v>
          </cell>
          <cell r="N105">
            <v>0</v>
          </cell>
          <cell r="O105">
            <v>0</v>
          </cell>
          <cell r="P105">
            <v>328</v>
          </cell>
          <cell r="Q105">
            <v>327.997</v>
          </cell>
          <cell r="R105">
            <v>327.997</v>
          </cell>
          <cell r="S105">
            <v>0</v>
          </cell>
          <cell r="T105">
            <v>0</v>
          </cell>
          <cell r="U105">
            <v>0.002999999999985903</v>
          </cell>
          <cell r="V105">
            <v>327.997</v>
          </cell>
          <cell r="W105">
            <v>0</v>
          </cell>
          <cell r="X105">
            <v>395.05600000000004</v>
          </cell>
        </row>
        <row r="106">
          <cell r="B106" t="str">
            <v>Trường Trung học cơ sở Tân Phú Đông</v>
          </cell>
          <cell r="C106" t="str">
            <v>KBSĐ</v>
          </cell>
          <cell r="D106">
            <v>7565863</v>
          </cell>
          <cell r="E106">
            <v>82608</v>
          </cell>
          <cell r="F106">
            <v>67.059</v>
          </cell>
          <cell r="P106">
            <v>328</v>
          </cell>
          <cell r="Q106">
            <v>327.997</v>
          </cell>
          <cell r="R106">
            <v>327.997</v>
          </cell>
          <cell r="U106">
            <v>0.002999999999985903</v>
          </cell>
          <cell r="V106">
            <v>327.997</v>
          </cell>
          <cell r="W106">
            <v>0</v>
          </cell>
          <cell r="X106">
            <v>395.05600000000004</v>
          </cell>
        </row>
        <row r="107">
          <cell r="B107" t="str">
            <v> - Thể thao</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row>
        <row r="109">
          <cell r="B109" t="str">
            <v> - Văn hóa xã hội</v>
          </cell>
        </row>
        <row r="110">
          <cell r="B110" t="str">
            <v> - Thương mại du lịch</v>
          </cell>
        </row>
        <row r="111">
          <cell r="B111" t="str">
            <v> - Giao thông</v>
          </cell>
        </row>
        <row r="112">
          <cell r="B112" t="str">
            <v> - Cấp nước và dịch vụ công cộng</v>
          </cell>
        </row>
        <row r="113">
          <cell r="B113" t="str">
            <v> - Xử lý nước thải</v>
          </cell>
        </row>
        <row r="114">
          <cell r="B114" t="str">
            <v> - An ninh quốc phòng</v>
          </cell>
        </row>
        <row r="115">
          <cell r="B115" t="str">
            <v> - Quản lý nhà nước</v>
          </cell>
        </row>
        <row r="116">
          <cell r="B116" t="str">
            <v> - Nông lâm thủy lợi</v>
          </cell>
        </row>
        <row r="117">
          <cell r="B117" t="str">
            <v>Vốn thực hiện đầu tư</v>
          </cell>
          <cell r="E117">
            <v>286675.01399999997</v>
          </cell>
          <cell r="F117">
            <v>51220.76499999999</v>
          </cell>
          <cell r="G117">
            <v>7317.448</v>
          </cell>
          <cell r="H117">
            <v>2.826</v>
          </cell>
          <cell r="I117">
            <v>6398.64</v>
          </cell>
          <cell r="J117">
            <v>0</v>
          </cell>
          <cell r="K117">
            <v>0</v>
          </cell>
          <cell r="L117">
            <v>0</v>
          </cell>
          <cell r="M117">
            <v>0</v>
          </cell>
          <cell r="N117">
            <v>0</v>
          </cell>
          <cell r="O117">
            <v>0</v>
          </cell>
          <cell r="P117">
            <v>61758</v>
          </cell>
          <cell r="Q117">
            <v>54547.623999999996</v>
          </cell>
          <cell r="R117">
            <v>52536.38699999999</v>
          </cell>
          <cell r="S117">
            <v>2011.2369999999992</v>
          </cell>
          <cell r="T117">
            <v>0</v>
          </cell>
          <cell r="U117">
            <v>7210.376000000002</v>
          </cell>
          <cell r="V117">
            <v>58935.026999999995</v>
          </cell>
          <cell r="W117">
            <v>2927.218999999999</v>
          </cell>
          <cell r="X117">
            <v>105765.563</v>
          </cell>
        </row>
        <row r="118">
          <cell r="B118" t="str">
            <v> - Giáo dục Đào tạo</v>
          </cell>
          <cell r="E118">
            <v>25834.633</v>
          </cell>
          <cell r="F118">
            <v>123.012</v>
          </cell>
          <cell r="G118">
            <v>0</v>
          </cell>
          <cell r="H118">
            <v>0</v>
          </cell>
          <cell r="I118">
            <v>0</v>
          </cell>
          <cell r="J118">
            <v>0</v>
          </cell>
          <cell r="K118">
            <v>0</v>
          </cell>
          <cell r="L118">
            <v>0</v>
          </cell>
          <cell r="M118">
            <v>0</v>
          </cell>
          <cell r="N118">
            <v>0</v>
          </cell>
          <cell r="O118">
            <v>0</v>
          </cell>
          <cell r="P118">
            <v>2742</v>
          </cell>
          <cell r="Q118">
            <v>1301.99</v>
          </cell>
          <cell r="R118">
            <v>1301.99</v>
          </cell>
          <cell r="S118">
            <v>0</v>
          </cell>
          <cell r="T118">
            <v>0</v>
          </cell>
          <cell r="U118">
            <v>1440.01</v>
          </cell>
          <cell r="V118">
            <v>1301.99</v>
          </cell>
          <cell r="W118">
            <v>0</v>
          </cell>
          <cell r="X118">
            <v>1425.002</v>
          </cell>
        </row>
        <row r="119">
          <cell r="B119" t="str">
            <v>Trường TH Vĩnh Phước (giai đoạn 2)</v>
          </cell>
          <cell r="C119" t="str">
            <v>KBSĐ</v>
          </cell>
          <cell r="D119">
            <v>7648511</v>
          </cell>
          <cell r="E119">
            <v>7514.633</v>
          </cell>
          <cell r="P119">
            <v>100</v>
          </cell>
          <cell r="Q119">
            <v>98.063</v>
          </cell>
          <cell r="R119">
            <v>98.063</v>
          </cell>
          <cell r="U119">
            <v>1.9369999999999976</v>
          </cell>
          <cell r="V119">
            <v>98.063</v>
          </cell>
          <cell r="W119">
            <v>0</v>
          </cell>
          <cell r="X119">
            <v>98.063</v>
          </cell>
        </row>
        <row r="120">
          <cell r="B120" t="str">
            <v>Trường Mầm non Tân Phú Đông 3</v>
          </cell>
          <cell r="C120" t="str">
            <v>KBSĐ,
KBĐT</v>
          </cell>
          <cell r="D120">
            <v>7482252</v>
          </cell>
          <cell r="E120">
            <v>18320</v>
          </cell>
          <cell r="F120">
            <v>123.012</v>
          </cell>
          <cell r="O120">
            <v>0</v>
          </cell>
          <cell r="P120">
            <v>2642</v>
          </cell>
          <cell r="Q120">
            <v>1203.927</v>
          </cell>
          <cell r="R120">
            <v>1203.927</v>
          </cell>
          <cell r="U120">
            <v>1438.073</v>
          </cell>
          <cell r="V120">
            <v>1203.927</v>
          </cell>
          <cell r="W120">
            <v>0</v>
          </cell>
          <cell r="X120">
            <v>1326.9389999999999</v>
          </cell>
        </row>
        <row r="121">
          <cell r="B121" t="str">
            <v> - Thể thao</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row>
        <row r="123">
          <cell r="B123" t="str">
            <v> - Văn hóa xã hội</v>
          </cell>
          <cell r="E123">
            <v>22746.149</v>
          </cell>
          <cell r="F123">
            <v>12801.624</v>
          </cell>
          <cell r="G123">
            <v>3123.204</v>
          </cell>
          <cell r="H123">
            <v>0</v>
          </cell>
          <cell r="I123">
            <v>3123.204</v>
          </cell>
          <cell r="J123">
            <v>0</v>
          </cell>
          <cell r="K123">
            <v>0</v>
          </cell>
          <cell r="L123">
            <v>0</v>
          </cell>
          <cell r="M123">
            <v>0</v>
          </cell>
          <cell r="N123">
            <v>0</v>
          </cell>
          <cell r="O123">
            <v>0</v>
          </cell>
          <cell r="P123">
            <v>9113</v>
          </cell>
          <cell r="Q123">
            <v>8328.726999999999</v>
          </cell>
          <cell r="R123">
            <v>8328.726999999999</v>
          </cell>
          <cell r="S123">
            <v>0</v>
          </cell>
          <cell r="T123">
            <v>0</v>
          </cell>
          <cell r="U123">
            <v>784.273000000001</v>
          </cell>
          <cell r="V123">
            <v>11451.930999999999</v>
          </cell>
          <cell r="W123">
            <v>0</v>
          </cell>
          <cell r="X123">
            <v>21130.351</v>
          </cell>
        </row>
        <row r="124">
          <cell r="B124" t="str">
            <v>Mở rộng nghĩa trang nhân dân giai đoạn 2</v>
          </cell>
          <cell r="C124" t="str">
            <v>KBSĐ</v>
          </cell>
          <cell r="D124">
            <v>7553805</v>
          </cell>
          <cell r="E124">
            <v>22746.149</v>
          </cell>
          <cell r="F124">
            <v>12801.624</v>
          </cell>
          <cell r="G124">
            <v>3123.204</v>
          </cell>
          <cell r="I124">
            <v>3123.204</v>
          </cell>
          <cell r="K124">
            <v>0</v>
          </cell>
          <cell r="O124">
            <v>0</v>
          </cell>
          <cell r="P124">
            <v>9113</v>
          </cell>
          <cell r="Q124">
            <v>8328.726999999999</v>
          </cell>
          <cell r="R124">
            <v>8328.726999999999</v>
          </cell>
          <cell r="U124">
            <v>784.273000000001</v>
          </cell>
          <cell r="V124">
            <v>11451.930999999999</v>
          </cell>
          <cell r="W124">
            <v>0</v>
          </cell>
          <cell r="X124">
            <v>21130.351</v>
          </cell>
        </row>
        <row r="126">
          <cell r="B126" t="str">
            <v> - Thương mại du lịch</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row>
        <row r="129">
          <cell r="B129" t="str">
            <v> - Giao thông</v>
          </cell>
          <cell r="E129">
            <v>224106.519</v>
          </cell>
          <cell r="F129">
            <v>35297.013999999996</v>
          </cell>
          <cell r="G129">
            <v>1825.1680000000001</v>
          </cell>
          <cell r="H129">
            <v>2.826</v>
          </cell>
          <cell r="I129">
            <v>1791.551</v>
          </cell>
          <cell r="J129">
            <v>0</v>
          </cell>
          <cell r="K129">
            <v>0</v>
          </cell>
          <cell r="L129">
            <v>0</v>
          </cell>
          <cell r="M129">
            <v>0</v>
          </cell>
          <cell r="N129">
            <v>0</v>
          </cell>
          <cell r="O129">
            <v>0</v>
          </cell>
          <cell r="P129">
            <v>46048</v>
          </cell>
          <cell r="Q129">
            <v>44916.907</v>
          </cell>
          <cell r="R129">
            <v>42905.66999999999</v>
          </cell>
          <cell r="S129">
            <v>2011.2369999999992</v>
          </cell>
          <cell r="T129">
            <v>0</v>
          </cell>
          <cell r="U129">
            <v>1131.0930000000005</v>
          </cell>
          <cell r="V129">
            <v>44697.221</v>
          </cell>
          <cell r="W129">
            <v>2042.0279999999993</v>
          </cell>
          <cell r="X129">
            <v>80211.09499999999</v>
          </cell>
        </row>
        <row r="130">
          <cell r="B130" t="str">
            <v>Cầu + Đường Tôn Đức Thắng nối dài </v>
          </cell>
          <cell r="C130" t="str">
            <v>KBSĐ</v>
          </cell>
          <cell r="D130">
            <v>7477364</v>
          </cell>
          <cell r="E130">
            <v>25796</v>
          </cell>
          <cell r="F130">
            <v>13608.621</v>
          </cell>
          <cell r="G130">
            <v>58.163</v>
          </cell>
          <cell r="I130">
            <v>58.163</v>
          </cell>
          <cell r="O130">
            <v>0</v>
          </cell>
          <cell r="U130">
            <v>0</v>
          </cell>
          <cell r="V130">
            <v>58.163</v>
          </cell>
          <cell r="W130">
            <v>0</v>
          </cell>
          <cell r="X130">
            <v>13608.621</v>
          </cell>
        </row>
        <row r="131">
          <cell r="B131" t="str">
            <v>Đường Nguyễn Tất Thành nối dài </v>
          </cell>
          <cell r="C131" t="str">
            <v>KBSĐ</v>
          </cell>
          <cell r="D131">
            <v>7498196</v>
          </cell>
          <cell r="E131">
            <v>26668.076</v>
          </cell>
          <cell r="F131">
            <v>19015.262</v>
          </cell>
          <cell r="G131">
            <v>1736.958</v>
          </cell>
          <cell r="I131">
            <v>1706.167</v>
          </cell>
          <cell r="O131">
            <v>0</v>
          </cell>
          <cell r="P131">
            <v>4000</v>
          </cell>
          <cell r="Q131">
            <v>3859.687</v>
          </cell>
          <cell r="R131">
            <v>3792.511</v>
          </cell>
          <cell r="S131">
            <v>67.17599999999993</v>
          </cell>
          <cell r="U131">
            <v>140.3130000000001</v>
          </cell>
          <cell r="V131">
            <v>5498.678</v>
          </cell>
          <cell r="W131">
            <v>97.9670000000001</v>
          </cell>
          <cell r="X131">
            <v>22874.949</v>
          </cell>
        </row>
        <row r="132">
          <cell r="B132" t="str">
            <v>Đường Kênh cùng Long Thắng</v>
          </cell>
          <cell r="C132" t="str">
            <v>KBSĐ</v>
          </cell>
          <cell r="D132">
            <v>7567685</v>
          </cell>
          <cell r="E132">
            <v>6771.195</v>
          </cell>
          <cell r="O132">
            <v>0</v>
          </cell>
          <cell r="P132">
            <v>3630</v>
          </cell>
          <cell r="Q132">
            <v>3630</v>
          </cell>
          <cell r="R132">
            <v>3210.825</v>
          </cell>
          <cell r="S132">
            <v>419.1750000000002</v>
          </cell>
          <cell r="U132">
            <v>0</v>
          </cell>
          <cell r="V132">
            <v>3210.825</v>
          </cell>
          <cell r="W132">
            <v>419.1750000000002</v>
          </cell>
          <cell r="X132">
            <v>3630</v>
          </cell>
        </row>
        <row r="133">
          <cell r="B133" t="str">
            <v>Đường Rạch chùa bờ phải (đoạn từ cầu Hai Đường đến đường Phạm Hữu Lầu nối dài)</v>
          </cell>
          <cell r="C133" t="str">
            <v>KBSĐ</v>
          </cell>
          <cell r="D133">
            <v>7649545</v>
          </cell>
          <cell r="E133">
            <v>2663.534</v>
          </cell>
          <cell r="P133">
            <v>1690</v>
          </cell>
          <cell r="Q133">
            <v>1542.185</v>
          </cell>
          <cell r="R133">
            <v>1138.987</v>
          </cell>
          <cell r="S133">
            <v>403.19799999999987</v>
          </cell>
          <cell r="U133">
            <v>147.81500000000005</v>
          </cell>
          <cell r="V133">
            <v>1138.987</v>
          </cell>
          <cell r="W133">
            <v>403.19799999999987</v>
          </cell>
          <cell r="X133">
            <v>1542.185</v>
          </cell>
        </row>
        <row r="134">
          <cell r="B134" t="str">
            <v> Nâng cấp đường Trần Hưng Đạo ( Trạm Y tế phường 1- cầu. Nàng Hai)</v>
          </cell>
          <cell r="C134" t="str">
            <v>KBSĐ</v>
          </cell>
          <cell r="D134">
            <v>7577833</v>
          </cell>
          <cell r="E134">
            <v>12089.768</v>
          </cell>
          <cell r="P134">
            <v>8400</v>
          </cell>
          <cell r="Q134">
            <v>7709.507</v>
          </cell>
          <cell r="R134">
            <v>7709.507</v>
          </cell>
          <cell r="U134">
            <v>690.4930000000004</v>
          </cell>
          <cell r="V134">
            <v>7709.507</v>
          </cell>
          <cell r="W134">
            <v>0</v>
          </cell>
          <cell r="X134">
            <v>7709.507</v>
          </cell>
        </row>
        <row r="135">
          <cell r="B135" t="str">
            <v>Đường mới song song đường Nguyễn  Sinh Sắc (từ Hùng Vương - ĐT 848 nối dài)</v>
          </cell>
          <cell r="C135" t="str">
            <v>KBSĐ</v>
          </cell>
          <cell r="D135">
            <v>7479789</v>
          </cell>
          <cell r="E135">
            <v>97442</v>
          </cell>
          <cell r="K135">
            <v>0</v>
          </cell>
          <cell r="P135">
            <v>26214</v>
          </cell>
          <cell r="Q135">
            <v>26214</v>
          </cell>
          <cell r="R135">
            <v>25093.915</v>
          </cell>
          <cell r="S135">
            <v>1120.0849999999991</v>
          </cell>
          <cell r="U135">
            <v>0</v>
          </cell>
          <cell r="V135">
            <v>25093.915</v>
          </cell>
          <cell r="W135">
            <v>1120.0849999999991</v>
          </cell>
          <cell r="X135">
            <v>26214</v>
          </cell>
        </row>
        <row r="136">
          <cell r="B136" t="str">
            <v>Đường vào khu công nghiệp C Sa Đéc mở rộng</v>
          </cell>
          <cell r="C136" t="str">
            <v>KBSĐ</v>
          </cell>
          <cell r="D136">
            <v>7410508</v>
          </cell>
          <cell r="E136">
            <v>22013.406</v>
          </cell>
          <cell r="P136">
            <v>1545</v>
          </cell>
          <cell r="Q136">
            <v>1406.598</v>
          </cell>
          <cell r="R136">
            <v>1406.598</v>
          </cell>
          <cell r="U136">
            <v>138.40200000000004</v>
          </cell>
          <cell r="V136">
            <v>1406.598</v>
          </cell>
          <cell r="W136">
            <v>0</v>
          </cell>
          <cell r="X136">
            <v>1406.598</v>
          </cell>
        </row>
        <row r="137">
          <cell r="B137" t="str">
            <v>Bố trí vốn đối ứng xây dựng trụ sở Ban CHQS phường Tân Quy Đông</v>
          </cell>
          <cell r="C137" t="str">
            <v>KBSĐ</v>
          </cell>
          <cell r="D137">
            <v>7004686</v>
          </cell>
          <cell r="E137">
            <v>27416.225</v>
          </cell>
          <cell r="P137">
            <v>400</v>
          </cell>
          <cell r="Q137">
            <v>400</v>
          </cell>
          <cell r="R137">
            <v>400</v>
          </cell>
          <cell r="U137">
            <v>0</v>
          </cell>
          <cell r="V137">
            <v>400</v>
          </cell>
          <cell r="W137">
            <v>0</v>
          </cell>
          <cell r="X137">
            <v>400</v>
          </cell>
        </row>
        <row r="138">
          <cell r="B138" t="str">
            <v> Đường nối cảnh quan kè sông Tiền, khu dân cư khóm 3 với đường dẫn bến phà</v>
          </cell>
          <cell r="C138" t="str">
            <v>KBSĐ</v>
          </cell>
          <cell r="D138">
            <v>7549256</v>
          </cell>
          <cell r="E138">
            <v>3246.315</v>
          </cell>
          <cell r="F138">
            <v>2673.131</v>
          </cell>
          <cell r="G138">
            <v>30.047</v>
          </cell>
          <cell r="H138">
            <v>2.826</v>
          </cell>
          <cell r="I138">
            <v>27.221</v>
          </cell>
          <cell r="O138">
            <v>0</v>
          </cell>
          <cell r="P138">
            <v>169</v>
          </cell>
          <cell r="Q138">
            <v>154.93</v>
          </cell>
          <cell r="R138">
            <v>153.327</v>
          </cell>
          <cell r="S138">
            <v>1.6030000000000086</v>
          </cell>
          <cell r="U138">
            <v>14.069999999999993</v>
          </cell>
          <cell r="V138">
            <v>180.548</v>
          </cell>
          <cell r="W138">
            <v>1.6030000000000086</v>
          </cell>
          <cell r="X138">
            <v>2825.2349999999997</v>
          </cell>
        </row>
        <row r="140">
          <cell r="B140" t="str">
            <v> - Cấp nước và dịch vụ công cộng</v>
          </cell>
        </row>
        <row r="141">
          <cell r="B141" t="str">
            <v> - Xử lý nước thải</v>
          </cell>
        </row>
        <row r="142">
          <cell r="B142" t="str">
            <v> - An ninh quốc phòng</v>
          </cell>
        </row>
        <row r="143">
          <cell r="B143" t="str">
            <v> - Quản lý nhà nước</v>
          </cell>
          <cell r="E143">
            <v>13987.713</v>
          </cell>
          <cell r="F143">
            <v>2999.115</v>
          </cell>
          <cell r="G143">
            <v>2369.076</v>
          </cell>
          <cell r="H143">
            <v>0</v>
          </cell>
          <cell r="I143">
            <v>1483.885</v>
          </cell>
          <cell r="J143">
            <v>0</v>
          </cell>
          <cell r="K143">
            <v>0</v>
          </cell>
          <cell r="L143">
            <v>0</v>
          </cell>
          <cell r="M143">
            <v>0</v>
          </cell>
          <cell r="N143">
            <v>0</v>
          </cell>
          <cell r="O143">
            <v>0</v>
          </cell>
          <cell r="P143">
            <v>0</v>
          </cell>
          <cell r="Q143">
            <v>0</v>
          </cell>
          <cell r="R143">
            <v>0</v>
          </cell>
          <cell r="S143">
            <v>0</v>
          </cell>
          <cell r="T143">
            <v>0</v>
          </cell>
          <cell r="U143">
            <v>0</v>
          </cell>
          <cell r="V143">
            <v>1483.885</v>
          </cell>
          <cell r="W143">
            <v>885.191</v>
          </cell>
          <cell r="X143">
            <v>2999.115</v>
          </cell>
        </row>
        <row r="144">
          <cell r="B144" t="str">
            <v>Hội trường thành phố Sa Đéc</v>
          </cell>
          <cell r="C144" t="str">
            <v>KBSĐ, KBĐT</v>
          </cell>
          <cell r="D144">
            <v>7618070</v>
          </cell>
          <cell r="E144">
            <v>13987.713</v>
          </cell>
          <cell r="F144">
            <v>2999.115</v>
          </cell>
          <cell r="G144">
            <v>2369.076</v>
          </cell>
          <cell r="I144">
            <v>1483.885</v>
          </cell>
          <cell r="U144">
            <v>0</v>
          </cell>
          <cell r="V144">
            <v>1483.885</v>
          </cell>
          <cell r="W144">
            <v>885.191</v>
          </cell>
          <cell r="X144">
            <v>2999.115</v>
          </cell>
        </row>
        <row r="145">
          <cell r="B145" t="str">
            <v> - Nông lâm thủy lợi</v>
          </cell>
        </row>
        <row r="146">
          <cell r="B146" t="str">
            <v>Vốn chưa phân bổ</v>
          </cell>
          <cell r="P146">
            <v>3855</v>
          </cell>
          <cell r="U146">
            <v>3855</v>
          </cell>
        </row>
        <row r="147">
          <cell r="A147" t="str">
            <v>V</v>
          </cell>
          <cell r="B147" t="str">
            <v>Vốn NSNN khác:</v>
          </cell>
          <cell r="E147">
            <v>45427.649</v>
          </cell>
          <cell r="F147">
            <v>25949.538</v>
          </cell>
          <cell r="G147">
            <v>1265.6170000000002</v>
          </cell>
          <cell r="H147">
            <v>343.159</v>
          </cell>
          <cell r="I147">
            <v>922.4580000000001</v>
          </cell>
          <cell r="J147">
            <v>0</v>
          </cell>
          <cell r="K147">
            <v>0</v>
          </cell>
          <cell r="L147">
            <v>0</v>
          </cell>
          <cell r="M147">
            <v>0</v>
          </cell>
          <cell r="N147">
            <v>0</v>
          </cell>
          <cell r="O147">
            <v>0</v>
          </cell>
          <cell r="P147">
            <v>2262</v>
          </cell>
          <cell r="Q147">
            <v>1393.71</v>
          </cell>
          <cell r="R147">
            <v>1336.384</v>
          </cell>
          <cell r="S147">
            <v>57.32600000000002</v>
          </cell>
          <cell r="T147">
            <v>0</v>
          </cell>
          <cell r="U147">
            <v>868.29</v>
          </cell>
          <cell r="V147">
            <v>2258.842</v>
          </cell>
          <cell r="W147">
            <v>57.32600000000002</v>
          </cell>
          <cell r="X147">
            <v>27000.088999999996</v>
          </cell>
        </row>
        <row r="148">
          <cell r="B148" t="str">
            <v>Vốn Tỉnh hỗ trợ xã nông thôn mới </v>
          </cell>
          <cell r="E148">
            <v>7445.411</v>
          </cell>
          <cell r="F148">
            <v>2403.789</v>
          </cell>
          <cell r="G148">
            <v>632.469</v>
          </cell>
          <cell r="H148">
            <v>342.188</v>
          </cell>
          <cell r="I148">
            <v>290.28100000000006</v>
          </cell>
          <cell r="J148">
            <v>0</v>
          </cell>
          <cell r="K148">
            <v>0</v>
          </cell>
          <cell r="L148">
            <v>0</v>
          </cell>
          <cell r="M148">
            <v>0</v>
          </cell>
          <cell r="N148">
            <v>0</v>
          </cell>
          <cell r="O148">
            <v>0</v>
          </cell>
          <cell r="P148">
            <v>0</v>
          </cell>
          <cell r="Q148">
            <v>0</v>
          </cell>
          <cell r="R148">
            <v>0</v>
          </cell>
          <cell r="S148">
            <v>0</v>
          </cell>
          <cell r="T148">
            <v>0</v>
          </cell>
          <cell r="U148">
            <v>0</v>
          </cell>
          <cell r="V148">
            <v>290.28100000000006</v>
          </cell>
          <cell r="W148">
            <v>0</v>
          </cell>
          <cell r="X148">
            <v>2061.601</v>
          </cell>
        </row>
        <row r="149">
          <cell r="B149" t="str">
            <v> - Giao thông</v>
          </cell>
          <cell r="E149">
            <v>7445.411</v>
          </cell>
          <cell r="F149">
            <v>2403.789</v>
          </cell>
          <cell r="G149">
            <v>632.469</v>
          </cell>
          <cell r="H149">
            <v>342.188</v>
          </cell>
          <cell r="I149">
            <v>290.28100000000006</v>
          </cell>
          <cell r="J149">
            <v>0</v>
          </cell>
          <cell r="K149">
            <v>0</v>
          </cell>
          <cell r="L149">
            <v>0</v>
          </cell>
          <cell r="M149">
            <v>0</v>
          </cell>
          <cell r="N149">
            <v>0</v>
          </cell>
          <cell r="O149">
            <v>0</v>
          </cell>
          <cell r="P149">
            <v>0</v>
          </cell>
          <cell r="Q149">
            <v>0</v>
          </cell>
          <cell r="R149">
            <v>0</v>
          </cell>
          <cell r="S149">
            <v>0</v>
          </cell>
          <cell r="T149">
            <v>0</v>
          </cell>
          <cell r="U149">
            <v>0</v>
          </cell>
          <cell r="V149">
            <v>290.28100000000006</v>
          </cell>
          <cell r="W149">
            <v>0</v>
          </cell>
          <cell r="X149">
            <v>2061.601</v>
          </cell>
        </row>
        <row r="150">
          <cell r="B150" t="str">
            <v>Đường Xếp Mương Đào</v>
          </cell>
          <cell r="C150" t="str">
            <v>KBSĐ</v>
          </cell>
          <cell r="D150">
            <v>7545080</v>
          </cell>
          <cell r="E150">
            <v>7445.411</v>
          </cell>
          <cell r="F150">
            <v>2403.789</v>
          </cell>
          <cell r="G150">
            <v>632.469</v>
          </cell>
          <cell r="H150">
            <v>342.188</v>
          </cell>
          <cell r="I150">
            <v>290.28100000000006</v>
          </cell>
          <cell r="K150">
            <v>0</v>
          </cell>
          <cell r="O150">
            <v>0</v>
          </cell>
          <cell r="Q150">
            <v>0</v>
          </cell>
          <cell r="U150">
            <v>0</v>
          </cell>
          <cell r="V150">
            <v>290.28100000000006</v>
          </cell>
          <cell r="W150">
            <v>0</v>
          </cell>
          <cell r="X150">
            <v>2061.601</v>
          </cell>
        </row>
        <row r="152">
          <cell r="B152" t="str">
            <v>Vốn vay kiên cố hóa giao thông nông thôn</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row>
        <row r="153">
          <cell r="B153" t="str">
            <v> - Giao thông</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row>
        <row r="155">
          <cell r="B155" t="str">
            <v>Vốn tập trung của tỉnh hỗ trợ cho thành phố Sa Đéc</v>
          </cell>
          <cell r="E155">
            <v>35030.238</v>
          </cell>
          <cell r="F155">
            <v>23445.964</v>
          </cell>
          <cell r="G155">
            <v>632.177</v>
          </cell>
          <cell r="H155">
            <v>0</v>
          </cell>
          <cell r="I155">
            <v>632.177</v>
          </cell>
          <cell r="J155">
            <v>0</v>
          </cell>
          <cell r="K155">
            <v>0</v>
          </cell>
          <cell r="L155">
            <v>0</v>
          </cell>
          <cell r="M155">
            <v>0</v>
          </cell>
          <cell r="N155">
            <v>0</v>
          </cell>
          <cell r="O155">
            <v>0</v>
          </cell>
          <cell r="P155">
            <v>2262</v>
          </cell>
          <cell r="Q155">
            <v>1393.71</v>
          </cell>
          <cell r="R155">
            <v>1336.384</v>
          </cell>
          <cell r="S155">
            <v>57.32600000000002</v>
          </cell>
          <cell r="T155">
            <v>0</v>
          </cell>
          <cell r="U155">
            <v>868.29</v>
          </cell>
          <cell r="V155">
            <v>1968.5610000000001</v>
          </cell>
          <cell r="W155">
            <v>57.32600000000002</v>
          </cell>
          <cell r="X155">
            <v>24839.674</v>
          </cell>
        </row>
        <row r="156">
          <cell r="B156" t="str">
            <v> - Thương mại du lịch</v>
          </cell>
          <cell r="E156">
            <v>30021.238</v>
          </cell>
          <cell r="F156">
            <v>20049.81</v>
          </cell>
          <cell r="G156">
            <v>592.177</v>
          </cell>
          <cell r="H156">
            <v>0</v>
          </cell>
          <cell r="I156">
            <v>592.177</v>
          </cell>
          <cell r="J156">
            <v>0</v>
          </cell>
          <cell r="K156">
            <v>0</v>
          </cell>
          <cell r="L156">
            <v>0</v>
          </cell>
          <cell r="M156">
            <v>0</v>
          </cell>
          <cell r="N156">
            <v>0</v>
          </cell>
          <cell r="O156">
            <v>0</v>
          </cell>
          <cell r="P156">
            <v>2262</v>
          </cell>
          <cell r="Q156">
            <v>1393.71</v>
          </cell>
          <cell r="R156">
            <v>1336.384</v>
          </cell>
          <cell r="S156">
            <v>57.32600000000002</v>
          </cell>
          <cell r="T156">
            <v>0</v>
          </cell>
          <cell r="U156">
            <v>868.29</v>
          </cell>
          <cell r="V156">
            <v>1928.5610000000001</v>
          </cell>
          <cell r="W156">
            <v>57.32600000000002</v>
          </cell>
          <cell r="X156">
            <v>21443.52</v>
          </cell>
        </row>
        <row r="157">
          <cell r="B157" t="str">
            <v>Hạ tầng phát triển du lịch thành phố Sa Đéc (hạng mục: đường Lê Lợi và đường Ông Thung Cai Dao)- đối ứng vốn tỉnh hỗ trợ </v>
          </cell>
          <cell r="C157" t="str">
            <v>KBSĐ</v>
          </cell>
          <cell r="D157">
            <v>7563027</v>
          </cell>
          <cell r="E157">
            <v>30021.238</v>
          </cell>
          <cell r="F157">
            <v>20049.81</v>
          </cell>
          <cell r="G157">
            <v>592.177</v>
          </cell>
          <cell r="I157">
            <v>592.177</v>
          </cell>
          <cell r="K157">
            <v>0</v>
          </cell>
          <cell r="O157">
            <v>0</v>
          </cell>
          <cell r="P157">
            <v>2262</v>
          </cell>
          <cell r="Q157">
            <v>1393.71</v>
          </cell>
          <cell r="R157">
            <v>1336.384</v>
          </cell>
          <cell r="S157">
            <v>57.32600000000002</v>
          </cell>
          <cell r="U157">
            <v>868.29</v>
          </cell>
          <cell r="V157">
            <v>1928.5610000000001</v>
          </cell>
          <cell r="W157">
            <v>57.32600000000002</v>
          </cell>
          <cell r="X157">
            <v>21443.52</v>
          </cell>
        </row>
        <row r="158">
          <cell r="B158" t="str">
            <v> - Quản lý nhà nước</v>
          </cell>
          <cell r="E158">
            <v>5009</v>
          </cell>
          <cell r="F158">
            <v>3396.154</v>
          </cell>
          <cell r="G158">
            <v>40</v>
          </cell>
          <cell r="H158">
            <v>0</v>
          </cell>
          <cell r="I158">
            <v>40</v>
          </cell>
          <cell r="J158">
            <v>0</v>
          </cell>
          <cell r="K158">
            <v>0</v>
          </cell>
          <cell r="L158">
            <v>0</v>
          </cell>
          <cell r="M158">
            <v>0</v>
          </cell>
          <cell r="N158">
            <v>0</v>
          </cell>
          <cell r="O158">
            <v>0</v>
          </cell>
          <cell r="P158">
            <v>0</v>
          </cell>
          <cell r="Q158">
            <v>0</v>
          </cell>
          <cell r="R158">
            <v>0</v>
          </cell>
          <cell r="S158">
            <v>0</v>
          </cell>
          <cell r="T158">
            <v>0</v>
          </cell>
          <cell r="U158">
            <v>0</v>
          </cell>
          <cell r="V158">
            <v>40</v>
          </cell>
          <cell r="W158">
            <v>0</v>
          </cell>
          <cell r="X158">
            <v>3396.154</v>
          </cell>
        </row>
        <row r="159">
          <cell r="B159" t="str">
            <v>Trụ sở UBND phường 4 </v>
          </cell>
          <cell r="C159" t="str">
            <v>KBSĐ</v>
          </cell>
          <cell r="D159">
            <v>7580550</v>
          </cell>
          <cell r="E159">
            <v>5009</v>
          </cell>
          <cell r="F159">
            <v>3396.154</v>
          </cell>
          <cell r="G159">
            <v>40</v>
          </cell>
          <cell r="I159">
            <v>40</v>
          </cell>
          <cell r="O159">
            <v>0</v>
          </cell>
          <cell r="Q159">
            <v>0</v>
          </cell>
          <cell r="U159">
            <v>0</v>
          </cell>
          <cell r="V159">
            <v>40</v>
          </cell>
          <cell r="W159">
            <v>0</v>
          </cell>
          <cell r="X159">
            <v>3396.154</v>
          </cell>
        </row>
        <row r="161">
          <cell r="B161" t="str">
            <v> - An ninh quốc phòng</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X161">
            <v>0</v>
          </cell>
        </row>
        <row r="163">
          <cell r="B163" t="str">
            <v>Vốn XSKT năm 2018 và năm 2017 chuyển sang của tỉnh hỗ trợ cho thành phố Sa Đéc</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X163">
            <v>0</v>
          </cell>
        </row>
        <row r="164">
          <cell r="B164" t="str">
            <v> - Giáo dục Đào tạo</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row>
        <row r="168">
          <cell r="A168" t="str">
            <v>A.2</v>
          </cell>
          <cell r="B168" t="str">
            <v>Các dự án không ghi kế hoạch năm 2017 còn dư vốn tạm ứng chưa thu hồi từ các năm trước chuyển sang năm 2018:</v>
          </cell>
          <cell r="E168">
            <v>2952</v>
          </cell>
          <cell r="F168">
            <v>99.785</v>
          </cell>
          <cell r="G168">
            <v>0.971</v>
          </cell>
          <cell r="H168">
            <v>0.971</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98.814</v>
          </cell>
        </row>
        <row r="169">
          <cell r="A169" t="str">
            <v>I</v>
          </cell>
          <cell r="B169" t="str">
            <v>Vốn Ngân sách tập trung đầu tư theo ngành, lĩnh vực:</v>
          </cell>
          <cell r="E169">
            <v>2952</v>
          </cell>
          <cell r="F169">
            <v>99.785</v>
          </cell>
          <cell r="G169">
            <v>0.971</v>
          </cell>
          <cell r="H169">
            <v>0.971</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98.814</v>
          </cell>
        </row>
        <row r="170">
          <cell r="B170" t="str">
            <v>Vốn trong nước</v>
          </cell>
        </row>
        <row r="171">
          <cell r="B171" t="str">
            <v>Vốn nước ngoài</v>
          </cell>
        </row>
        <row r="172">
          <cell r="A172">
            <v>1</v>
          </cell>
          <cell r="B172" t="str">
            <v>Vốn Chuẩn bị đầu tư</v>
          </cell>
          <cell r="M172">
            <v>0</v>
          </cell>
          <cell r="N172">
            <v>0</v>
          </cell>
          <cell r="O172">
            <v>0</v>
          </cell>
          <cell r="P172">
            <v>0</v>
          </cell>
          <cell r="Q172">
            <v>0</v>
          </cell>
          <cell r="R172">
            <v>0</v>
          </cell>
          <cell r="S172">
            <v>0</v>
          </cell>
          <cell r="T172">
            <v>0</v>
          </cell>
          <cell r="U172">
            <v>0</v>
          </cell>
          <cell r="V172">
            <v>0</v>
          </cell>
          <cell r="W172">
            <v>0</v>
          </cell>
          <cell r="X172">
            <v>0</v>
          </cell>
        </row>
        <row r="173">
          <cell r="B173" t="str">
            <v> - Giáo dục Đào tạo</v>
          </cell>
        </row>
        <row r="174">
          <cell r="B174" t="str">
            <v> - Thể thao</v>
          </cell>
        </row>
        <row r="175">
          <cell r="B175" t="str">
            <v> - Văn hóa xã hội</v>
          </cell>
        </row>
        <row r="176">
          <cell r="B176" t="str">
            <v> - Thương mại du lịch</v>
          </cell>
        </row>
        <row r="177">
          <cell r="B177" t="str">
            <v> - Giao thông</v>
          </cell>
        </row>
        <row r="178">
          <cell r="B178" t="str">
            <v> - Cấp nước và dịch vụ công cộng</v>
          </cell>
        </row>
        <row r="179">
          <cell r="B179" t="str">
            <v> - Xử lý nước thải</v>
          </cell>
        </row>
        <row r="180">
          <cell r="B180" t="str">
            <v> - An ninh quốc phòng</v>
          </cell>
        </row>
        <row r="181">
          <cell r="B181" t="str">
            <v> - Quản lý nhà nước</v>
          </cell>
        </row>
        <row r="182">
          <cell r="B182" t="str">
            <v> - Nông lâm thủy lợi</v>
          </cell>
        </row>
        <row r="183">
          <cell r="A183">
            <v>2</v>
          </cell>
          <cell r="B183" t="str">
            <v>Vốn Thực hiện dự án</v>
          </cell>
          <cell r="E183">
            <v>2952</v>
          </cell>
          <cell r="F183">
            <v>99.785</v>
          </cell>
          <cell r="G183">
            <v>0.971</v>
          </cell>
          <cell r="H183">
            <v>0.971</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98.814</v>
          </cell>
        </row>
        <row r="184">
          <cell r="B184" t="str">
            <v> - Giáo dục Đào tạo</v>
          </cell>
        </row>
        <row r="185">
          <cell r="B185" t="str">
            <v> - Thể thao</v>
          </cell>
        </row>
        <row r="186">
          <cell r="B186" t="str">
            <v> - Văn hóa xã hội</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row>
        <row r="190">
          <cell r="B190" t="str">
            <v> - Thương mại du lịch</v>
          </cell>
        </row>
        <row r="191">
          <cell r="B191" t="str">
            <v> - Giao thông</v>
          </cell>
          <cell r="E191">
            <v>2952</v>
          </cell>
          <cell r="F191">
            <v>99.785</v>
          </cell>
          <cell r="G191">
            <v>0.971</v>
          </cell>
          <cell r="H191">
            <v>0.971</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98.814</v>
          </cell>
        </row>
        <row r="192">
          <cell r="B192" t="str">
            <v>Đường nối từ trường Nguyễn Đình Chiểu đến KDC Phú Long</v>
          </cell>
          <cell r="C192" t="str">
            <v>KBSĐ</v>
          </cell>
          <cell r="D192">
            <v>7498683</v>
          </cell>
          <cell r="E192">
            <v>2952</v>
          </cell>
          <cell r="F192">
            <v>99.785</v>
          </cell>
          <cell r="G192">
            <v>0.971</v>
          </cell>
          <cell r="H192">
            <v>0.971</v>
          </cell>
          <cell r="O192">
            <v>0</v>
          </cell>
          <cell r="U192">
            <v>0</v>
          </cell>
          <cell r="V192">
            <v>0</v>
          </cell>
          <cell r="W192">
            <v>0</v>
          </cell>
          <cell r="X192">
            <v>98.814</v>
          </cell>
        </row>
        <row r="195">
          <cell r="B195" t="str">
            <v> - Cấp nước và dịch vụ công cộng</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row>
        <row r="199">
          <cell r="B199" t="str">
            <v> - Xử lý nước thải</v>
          </cell>
        </row>
        <row r="200">
          <cell r="B200" t="str">
            <v> - An ninh quốc phòng</v>
          </cell>
        </row>
        <row r="201">
          <cell r="B201" t="str">
            <v> - Quản lý nhà nước</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row>
        <row r="203">
          <cell r="B203" t="str">
            <v> - Nông lâm thủy lợi</v>
          </cell>
        </row>
        <row r="204">
          <cell r="B204" t="str">
            <v>Vốn trong nước</v>
          </cell>
        </row>
        <row r="205">
          <cell r="B205" t="str">
            <v>Vốn nước ngoài</v>
          </cell>
        </row>
        <row r="206">
          <cell r="A206" t="str">
            <v>II</v>
          </cell>
          <cell r="B206" t="str">
            <v>Vốn CTMT QG:</v>
          </cell>
        </row>
        <row r="207">
          <cell r="A207">
            <v>1</v>
          </cell>
          <cell r="B207" t="str">
            <v>Chương trình MTQG….</v>
          </cell>
        </row>
        <row r="208">
          <cell r="B208" t="str">
            <v>Dự án….</v>
          </cell>
        </row>
        <row r="209">
          <cell r="A209" t="str">
            <v>III</v>
          </cell>
          <cell r="B209" t="str">
            <v>Vốn CTMT:</v>
          </cell>
        </row>
        <row r="210">
          <cell r="A210">
            <v>1</v>
          </cell>
          <cell r="B210" t="str">
            <v>Chương trình…</v>
          </cell>
        </row>
        <row r="211">
          <cell r="B211" t="str">
            <v>Dự án….</v>
          </cell>
        </row>
        <row r="212">
          <cell r="A212" t="str">
            <v>IV</v>
          </cell>
          <cell r="B212" t="str">
            <v>Vốn từ nguồn thu tiền sử dụng đất:</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row>
        <row r="213">
          <cell r="B213" t="str">
            <v>Vốn Chuẩn bị đầu tư</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row>
        <row r="214">
          <cell r="B214" t="str">
            <v> - Giáo dục Đào tạo</v>
          </cell>
        </row>
        <row r="215">
          <cell r="B215" t="str">
            <v> - Thể thao</v>
          </cell>
        </row>
        <row r="216">
          <cell r="B216" t="str">
            <v> - Văn hóa xã hội</v>
          </cell>
        </row>
        <row r="217">
          <cell r="B217" t="str">
            <v> - Thương mại du lịch</v>
          </cell>
        </row>
        <row r="218">
          <cell r="B218" t="str">
            <v> - Giao thông</v>
          </cell>
        </row>
        <row r="219">
          <cell r="B219" t="str">
            <v> - Cấp nước và dịch vụ công cộng</v>
          </cell>
        </row>
        <row r="220">
          <cell r="B220" t="str">
            <v> - Xử lý nước thải</v>
          </cell>
        </row>
        <row r="221">
          <cell r="B221" t="str">
            <v> - An ninh quốc phòng</v>
          </cell>
        </row>
        <row r="222">
          <cell r="B222" t="str">
            <v> - Quản lý nhà nước</v>
          </cell>
        </row>
        <row r="223">
          <cell r="B223" t="str">
            <v> - Nông lâm thủy lợi</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row>
        <row r="227">
          <cell r="B227" t="str">
            <v>Vốn Thực hiện dự án</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row>
        <row r="228">
          <cell r="B228" t="str">
            <v> - Giáo dục Đào tạo</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row>
        <row r="230">
          <cell r="B230" t="str">
            <v> - Thể thao</v>
          </cell>
        </row>
        <row r="231">
          <cell r="B231" t="str">
            <v> - Văn hóa xã hội</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row>
        <row r="234">
          <cell r="B234" t="str">
            <v> - Thương mại du lịch</v>
          </cell>
        </row>
        <row r="235">
          <cell r="B235" t="str">
            <v> - Giao thông</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row>
        <row r="237">
          <cell r="B237" t="str">
            <v> - Cấp nước và dịch vụ công cộng</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row>
        <row r="239">
          <cell r="B239" t="str">
            <v> - Xử lý nước thải</v>
          </cell>
        </row>
        <row r="240">
          <cell r="B240" t="str">
            <v> - An ninh quốc phòng</v>
          </cell>
        </row>
        <row r="241">
          <cell r="B241" t="str">
            <v> - Quản lý nhà nước</v>
          </cell>
        </row>
        <row r="242">
          <cell r="B242" t="str">
            <v> - Nông lâm thủy lợi</v>
          </cell>
        </row>
        <row r="243">
          <cell r="A243" t="str">
            <v>V</v>
          </cell>
          <cell r="B243" t="str">
            <v>Vốn NSNN khác:</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row>
        <row r="244">
          <cell r="B244" t="str">
            <v>Vốn Tỉnh hỗ trợ</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row>
        <row r="245">
          <cell r="A245" t="str">
            <v>B</v>
          </cell>
          <cell r="B245" t="str">
            <v>VỐN TRÁI PHIẾU CHÍNH PHỦ:</v>
          </cell>
        </row>
        <row r="246">
          <cell r="A246" t="str">
            <v>B.1</v>
          </cell>
          <cell r="B246" t="str">
            <v>Các dự án thuộc kế hoạch năm 20…:</v>
          </cell>
        </row>
        <row r="247">
          <cell r="A247">
            <v>1</v>
          </cell>
          <cell r="B247" t="str">
            <v>Ngành giao thông</v>
          </cell>
        </row>
        <row r="248">
          <cell r="B248" t="str">
            <v>Dự án…</v>
          </cell>
        </row>
        <row r="249">
          <cell r="A249">
            <v>2</v>
          </cell>
          <cell r="B249" t="str">
            <v>Ngành thủy lợi</v>
          </cell>
        </row>
        <row r="250">
          <cell r="B250" t="str">
            <v>Dự án…</v>
          </cell>
        </row>
        <row r="251">
          <cell r="A251">
            <v>3</v>
          </cell>
          <cell r="B251" t="str">
            <v>Ngành….</v>
          </cell>
        </row>
        <row r="252">
          <cell r="B252" t="str">
            <v>Dự án….</v>
          </cell>
        </row>
        <row r="253">
          <cell r="A253" t="str">
            <v>B.2</v>
          </cell>
          <cell r="B253" t="str">
            <v>Các dự án không ghi kế hoạch năm 20… còn dư vốn tạm ứng chưa thu hồi từ những năm trước chuyển sang năm 20…:</v>
          </cell>
        </row>
        <row r="254">
          <cell r="B254" t="str">
            <v>Ngành….</v>
          </cell>
        </row>
        <row r="255">
          <cell r="B255" t="str">
            <v>Dự án…</v>
          </cell>
        </row>
        <row r="256">
          <cell r="A256" t="str">
            <v>C</v>
          </cell>
          <cell r="B256" t="str">
            <v>VỐN TRÁI PHIẾU CHÍNH QUYỀN ĐỊA PHƯƠNG:</v>
          </cell>
        </row>
        <row r="257">
          <cell r="A257">
            <v>1</v>
          </cell>
          <cell r="B257" t="str">
            <v>Dự án…</v>
          </cell>
        </row>
        <row r="258">
          <cell r="A258">
            <v>2</v>
          </cell>
          <cell r="B258" t="str">
            <v>Dự án…</v>
          </cell>
        </row>
        <row r="259">
          <cell r="A259" t="str">
            <v>D</v>
          </cell>
          <cell r="B259" t="str">
            <v>NGUỒN VỐN ĐẦU TƯ THUỘC NSNN KHÁC (nếu có):</v>
          </cell>
        </row>
        <row r="260">
          <cell r="A260">
            <v>1</v>
          </cell>
          <cell r="B260" t="str">
            <v>Nguồn vốn…</v>
          </cell>
        </row>
        <row r="261">
          <cell r="B261" t="str">
            <v>Dự án…</v>
          </cell>
        </row>
        <row r="262">
          <cell r="A262" t="str">
            <v>II</v>
          </cell>
          <cell r="B262" t="str">
            <v>Nguồn vốn…</v>
          </cell>
        </row>
        <row r="263">
          <cell r="B263" t="str">
            <v>Dự án…</v>
          </cell>
        </row>
        <row r="266">
          <cell r="B266" t="str">
            <v>NGƯỜI LẬP BIỂU</v>
          </cell>
          <cell r="S266" t="str">
            <v>Sa Đéc ngày         tháng 3 năm 2019</v>
          </cell>
        </row>
        <row r="267">
          <cell r="S267" t="str">
            <v>TRƯỞNG PHÒNG</v>
          </cell>
        </row>
        <row r="270">
          <cell r="B270" t="str">
            <v>Lê Thị Thùy Trang</v>
          </cell>
          <cell r="T270" t="str">
            <v>Phạm Hoàng Nhất Lưu</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QTH1 chỉnh ngày 21032019"/>
      <sheetName val="CQTH1 chỉnh khớp KB"/>
      <sheetName val="CQTH51"/>
      <sheetName val="CQTH1"/>
      <sheetName val="CQTH2"/>
      <sheetName val="CQTH3"/>
      <sheetName val="CQTH4"/>
      <sheetName val="CQTH5"/>
      <sheetName val="Sheet2"/>
      <sheetName val="Sheet3"/>
    </sheetNames>
    <sheetDataSet>
      <sheetData sheetId="0">
        <row r="130">
          <cell r="X130">
            <v>13608.621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QTH1"/>
      <sheetName val="CQTH2"/>
      <sheetName val="CQTH3"/>
      <sheetName val="CQTH4"/>
      <sheetName val="CQTH5"/>
    </sheetNames>
    <sheetDataSet>
      <sheetData sheetId="0">
        <row r="12">
          <cell r="A12">
            <v>1</v>
          </cell>
          <cell r="B12">
            <v>2</v>
          </cell>
          <cell r="C12">
            <v>3</v>
          </cell>
          <cell r="D12">
            <v>4</v>
          </cell>
          <cell r="E12">
            <v>5</v>
          </cell>
          <cell r="F12">
            <v>6</v>
          </cell>
          <cell r="G12">
            <v>7</v>
          </cell>
          <cell r="H12">
            <v>8</v>
          </cell>
          <cell r="I12">
            <v>9</v>
          </cell>
          <cell r="J12">
            <v>10</v>
          </cell>
          <cell r="K12" t="str">
            <v>11=12+13</v>
          </cell>
          <cell r="L12">
            <v>12</v>
          </cell>
          <cell r="M12">
            <v>13</v>
          </cell>
          <cell r="N12">
            <v>14</v>
          </cell>
          <cell r="O12" t="str">
            <v>15=10-11-14</v>
          </cell>
          <cell r="P12">
            <v>16</v>
          </cell>
          <cell r="Q12" t="str">
            <v>17=18+19</v>
          </cell>
          <cell r="R12">
            <v>18</v>
          </cell>
          <cell r="S12">
            <v>19</v>
          </cell>
          <cell r="T12">
            <v>20</v>
          </cell>
          <cell r="U12" t="str">
            <v>21=16-17-20</v>
          </cell>
          <cell r="V12" t="str">
            <v>22=9+12+18</v>
          </cell>
          <cell r="W12" t="str">
            <v>23=7-8-9+13+19</v>
          </cell>
          <cell r="X12" t="str">
            <v>24=6+11+17</v>
          </cell>
        </row>
        <row r="14">
          <cell r="B14" t="str">
            <v>TỔNG SỐ (A+B+C+D)</v>
          </cell>
          <cell r="E14">
            <v>884976.9280999999</v>
          </cell>
          <cell r="F14">
            <v>251349.43800000002</v>
          </cell>
          <cell r="G14">
            <v>22814.863999999994</v>
          </cell>
          <cell r="H14">
            <v>345.985</v>
          </cell>
          <cell r="I14">
            <v>20338.641999999996</v>
          </cell>
          <cell r="J14">
            <v>0</v>
          </cell>
          <cell r="K14">
            <v>0</v>
          </cell>
          <cell r="L14">
            <v>0</v>
          </cell>
          <cell r="M14">
            <v>0</v>
          </cell>
          <cell r="N14">
            <v>0</v>
          </cell>
          <cell r="O14">
            <v>0</v>
          </cell>
          <cell r="P14">
            <v>126848</v>
          </cell>
          <cell r="Q14">
            <v>110658.622</v>
          </cell>
          <cell r="R14">
            <v>101909.20799999998</v>
          </cell>
          <cell r="S14">
            <v>8749.414</v>
          </cell>
          <cell r="T14">
            <v>3855</v>
          </cell>
          <cell r="U14">
            <v>12321.451000000001</v>
          </cell>
          <cell r="V14">
            <v>122247.84999999999</v>
          </cell>
          <cell r="W14">
            <v>10879.650999999998</v>
          </cell>
          <cell r="X14">
            <v>415335.458</v>
          </cell>
        </row>
        <row r="15">
          <cell r="B15" t="str">
            <v>Vốn trong nước</v>
          </cell>
          <cell r="E15">
            <v>884976.9280999999</v>
          </cell>
          <cell r="F15">
            <v>251349.43800000002</v>
          </cell>
          <cell r="G15">
            <v>22814.863999999994</v>
          </cell>
          <cell r="H15">
            <v>345.985</v>
          </cell>
          <cell r="I15">
            <v>20338.641999999996</v>
          </cell>
          <cell r="J15">
            <v>0</v>
          </cell>
          <cell r="K15">
            <v>0</v>
          </cell>
          <cell r="L15">
            <v>0</v>
          </cell>
          <cell r="M15">
            <v>0</v>
          </cell>
          <cell r="N15">
            <v>0</v>
          </cell>
          <cell r="O15">
            <v>0</v>
          </cell>
          <cell r="P15">
            <v>126848</v>
          </cell>
          <cell r="Q15">
            <v>110658.622</v>
          </cell>
          <cell r="R15">
            <v>101909.20799999998</v>
          </cell>
          <cell r="S15">
            <v>8749.414</v>
          </cell>
          <cell r="T15">
            <v>3855</v>
          </cell>
          <cell r="U15">
            <v>12321.451000000001</v>
          </cell>
          <cell r="V15">
            <v>122247.84999999999</v>
          </cell>
          <cell r="W15">
            <v>10879.650999999998</v>
          </cell>
          <cell r="X15">
            <v>415335.458</v>
          </cell>
        </row>
        <row r="16">
          <cell r="A16" t="str">
            <v>A</v>
          </cell>
          <cell r="B16" t="str">
            <v>VỐN NSNN:</v>
          </cell>
          <cell r="E16">
            <v>884976.9280999999</v>
          </cell>
          <cell r="F16">
            <v>251349.43800000002</v>
          </cell>
          <cell r="G16">
            <v>22814.863999999994</v>
          </cell>
          <cell r="H16">
            <v>345.985</v>
          </cell>
          <cell r="I16">
            <v>20338.641999999996</v>
          </cell>
          <cell r="J16">
            <v>0</v>
          </cell>
          <cell r="K16">
            <v>0</v>
          </cell>
          <cell r="L16">
            <v>0</v>
          </cell>
          <cell r="M16">
            <v>0</v>
          </cell>
          <cell r="N16">
            <v>0</v>
          </cell>
          <cell r="O16">
            <v>0</v>
          </cell>
          <cell r="P16">
            <v>126848</v>
          </cell>
          <cell r="Q16">
            <v>110658.622</v>
          </cell>
          <cell r="R16">
            <v>101909.20799999998</v>
          </cell>
          <cell r="S16">
            <v>8749.414</v>
          </cell>
          <cell r="T16">
            <v>3855</v>
          </cell>
          <cell r="U16">
            <v>12321.451000000001</v>
          </cell>
          <cell r="V16">
            <v>122247.84999999999</v>
          </cell>
          <cell r="W16">
            <v>10879.650999999998</v>
          </cell>
          <cell r="X16">
            <v>415335.458</v>
          </cell>
        </row>
        <row r="17">
          <cell r="A17" t="str">
            <v>A.1</v>
          </cell>
          <cell r="B17" t="str">
            <v>Các dự án thuộc kế hoạch năm 2018</v>
          </cell>
          <cell r="E17">
            <v>884976.9280999999</v>
          </cell>
          <cell r="F17">
            <v>251349.43800000002</v>
          </cell>
          <cell r="G17">
            <v>22814.863999999994</v>
          </cell>
          <cell r="H17">
            <v>345.985</v>
          </cell>
          <cell r="I17">
            <v>20338.641999999996</v>
          </cell>
          <cell r="J17">
            <v>0</v>
          </cell>
          <cell r="K17">
            <v>0</v>
          </cell>
          <cell r="L17">
            <v>0</v>
          </cell>
          <cell r="M17">
            <v>0</v>
          </cell>
          <cell r="N17">
            <v>0</v>
          </cell>
          <cell r="O17">
            <v>0</v>
          </cell>
          <cell r="P17">
            <v>126848</v>
          </cell>
          <cell r="Q17">
            <v>110658.622</v>
          </cell>
          <cell r="R17">
            <v>101909.20799999998</v>
          </cell>
          <cell r="S17">
            <v>8749.414</v>
          </cell>
          <cell r="T17">
            <v>3855</v>
          </cell>
          <cell r="U17">
            <v>12321.451000000001</v>
          </cell>
          <cell r="V17">
            <v>122247.84999999999</v>
          </cell>
          <cell r="W17">
            <v>10879.650999999998</v>
          </cell>
          <cell r="X17">
            <v>361662.075</v>
          </cell>
        </row>
        <row r="18">
          <cell r="A18" t="str">
            <v>I</v>
          </cell>
          <cell r="B18" t="str">
            <v>Vốn Ngân sách tập trung đầu tư theo ngành, lĩnh vực: </v>
          </cell>
          <cell r="E18">
            <v>467028.6080999999</v>
          </cell>
          <cell r="F18">
            <v>115994.884</v>
          </cell>
          <cell r="G18">
            <v>14231.798999999997</v>
          </cell>
          <cell r="H18">
            <v>0</v>
          </cell>
          <cell r="I18">
            <v>13017.543999999998</v>
          </cell>
          <cell r="J18">
            <v>0</v>
          </cell>
          <cell r="K18">
            <v>0</v>
          </cell>
          <cell r="L18">
            <v>0</v>
          </cell>
          <cell r="M18">
            <v>0</v>
          </cell>
          <cell r="N18">
            <v>0</v>
          </cell>
          <cell r="O18">
            <v>0</v>
          </cell>
          <cell r="P18">
            <v>62500</v>
          </cell>
          <cell r="Q18">
            <v>54389.291</v>
          </cell>
          <cell r="R18">
            <v>47708.43999999999</v>
          </cell>
          <cell r="S18">
            <v>6680.851000000001</v>
          </cell>
          <cell r="T18">
            <v>0</v>
          </cell>
          <cell r="U18">
            <v>8097.782</v>
          </cell>
          <cell r="V18">
            <v>60725.98399999999</v>
          </cell>
          <cell r="W18">
            <v>7895.106</v>
          </cell>
          <cell r="X18">
            <v>170384.17500000002</v>
          </cell>
        </row>
        <row r="19">
          <cell r="B19" t="str">
            <v>Vốn trong nước</v>
          </cell>
          <cell r="E19">
            <v>467028.6080999999</v>
          </cell>
          <cell r="F19">
            <v>115994.884</v>
          </cell>
          <cell r="G19">
            <v>14231.798999999997</v>
          </cell>
          <cell r="H19">
            <v>0</v>
          </cell>
          <cell r="I19">
            <v>13017.543999999998</v>
          </cell>
          <cell r="J19">
            <v>0</v>
          </cell>
          <cell r="K19">
            <v>0</v>
          </cell>
          <cell r="L19">
            <v>0</v>
          </cell>
          <cell r="M19">
            <v>0</v>
          </cell>
          <cell r="N19">
            <v>0</v>
          </cell>
          <cell r="O19">
            <v>0</v>
          </cell>
          <cell r="P19">
            <v>62500</v>
          </cell>
          <cell r="Q19">
            <v>54389.291</v>
          </cell>
          <cell r="R19">
            <v>47708.43999999999</v>
          </cell>
          <cell r="S19">
            <v>6680.851000000001</v>
          </cell>
          <cell r="T19">
            <v>0</v>
          </cell>
          <cell r="U19">
            <v>8097.782</v>
          </cell>
          <cell r="V19">
            <v>60725.98399999999</v>
          </cell>
          <cell r="W19">
            <v>7895.106</v>
          </cell>
          <cell r="X19">
            <v>170384.17500000002</v>
          </cell>
        </row>
        <row r="20">
          <cell r="A20">
            <v>1</v>
          </cell>
          <cell r="B20" t="str">
            <v>Vốn Chuẩn bị đầu tư</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row>
        <row r="21">
          <cell r="B21" t="str">
            <v> - Giáo dục Đào tạo</v>
          </cell>
        </row>
        <row r="22">
          <cell r="B22" t="str">
            <v> - Thể thao</v>
          </cell>
        </row>
        <row r="23">
          <cell r="B23" t="str">
            <v> - Văn hóa xã hội</v>
          </cell>
        </row>
        <row r="24">
          <cell r="B24" t="str">
            <v> - Thương mại du lịch</v>
          </cell>
        </row>
        <row r="25">
          <cell r="B25" t="str">
            <v> - Giao thông</v>
          </cell>
          <cell r="G25">
            <v>0</v>
          </cell>
        </row>
        <row r="26">
          <cell r="B26" t="str">
            <v> - Cấp nước và dịch vụ công cộng</v>
          </cell>
        </row>
        <row r="27">
          <cell r="B27" t="str">
            <v> - Xử lý nước thải</v>
          </cell>
        </row>
        <row r="28">
          <cell r="B28" t="str">
            <v> - An ninh quốc phòng</v>
          </cell>
        </row>
        <row r="29">
          <cell r="B29" t="str">
            <v> - Quản lý nhà nước</v>
          </cell>
        </row>
        <row r="30">
          <cell r="B30" t="str">
            <v> - Nông lâm thủy lợi</v>
          </cell>
        </row>
        <row r="31">
          <cell r="A31">
            <v>2</v>
          </cell>
          <cell r="B31" t="str">
            <v>Vốn Thực hiện dự án</v>
          </cell>
          <cell r="E31">
            <v>467028.6080999999</v>
          </cell>
          <cell r="F31">
            <v>115994.884</v>
          </cell>
          <cell r="G31">
            <v>14231.798999999997</v>
          </cell>
          <cell r="H31">
            <v>0</v>
          </cell>
          <cell r="I31">
            <v>13017.543999999998</v>
          </cell>
          <cell r="J31">
            <v>0</v>
          </cell>
          <cell r="K31">
            <v>0</v>
          </cell>
          <cell r="L31">
            <v>0</v>
          </cell>
          <cell r="M31">
            <v>0</v>
          </cell>
          <cell r="N31">
            <v>0</v>
          </cell>
          <cell r="O31">
            <v>0</v>
          </cell>
          <cell r="P31">
            <v>62487.073</v>
          </cell>
          <cell r="Q31">
            <v>54389.291</v>
          </cell>
          <cell r="R31">
            <v>47708.43999999999</v>
          </cell>
          <cell r="S31">
            <v>6680.851000000001</v>
          </cell>
          <cell r="T31">
            <v>0</v>
          </cell>
          <cell r="U31">
            <v>8097.782</v>
          </cell>
          <cell r="V31">
            <v>60725.98399999999</v>
          </cell>
          <cell r="W31">
            <v>7895.106</v>
          </cell>
          <cell r="X31">
            <v>170384.17500000002</v>
          </cell>
        </row>
        <row r="32">
          <cell r="B32" t="str">
            <v> - Giáo dục Đào tạo</v>
          </cell>
          <cell r="E32">
            <v>15040</v>
          </cell>
          <cell r="F32">
            <v>4140.584</v>
          </cell>
          <cell r="G32">
            <v>2322.627</v>
          </cell>
          <cell r="H32">
            <v>0</v>
          </cell>
          <cell r="I32">
            <v>2302.621</v>
          </cell>
          <cell r="J32">
            <v>0</v>
          </cell>
          <cell r="K32">
            <v>0</v>
          </cell>
          <cell r="L32">
            <v>0</v>
          </cell>
          <cell r="M32">
            <v>0</v>
          </cell>
          <cell r="N32">
            <v>0</v>
          </cell>
          <cell r="O32">
            <v>0</v>
          </cell>
          <cell r="P32">
            <v>7301</v>
          </cell>
          <cell r="Q32">
            <v>6001.793</v>
          </cell>
          <cell r="R32">
            <v>5977.456999999999</v>
          </cell>
          <cell r="S32">
            <v>24.336000000000013</v>
          </cell>
          <cell r="T32">
            <v>0</v>
          </cell>
          <cell r="U32">
            <v>1299.2070000000003</v>
          </cell>
          <cell r="V32">
            <v>8280.078</v>
          </cell>
          <cell r="W32">
            <v>44.341999999999985</v>
          </cell>
          <cell r="X32">
            <v>10142.377</v>
          </cell>
        </row>
        <row r="33">
          <cell r="B33" t="str">
            <v>Trường Tiểu học Hòa Khánh</v>
          </cell>
          <cell r="C33" t="str">
            <v>KBSĐ</v>
          </cell>
          <cell r="D33">
            <v>7561460</v>
          </cell>
          <cell r="E33">
            <v>10577</v>
          </cell>
          <cell r="F33">
            <v>3000</v>
          </cell>
          <cell r="G33">
            <v>1346.555</v>
          </cell>
          <cell r="I33">
            <v>1346.555</v>
          </cell>
          <cell r="K33">
            <v>0</v>
          </cell>
          <cell r="O33">
            <v>0</v>
          </cell>
          <cell r="P33">
            <v>5731</v>
          </cell>
          <cell r="Q33">
            <v>5560.467</v>
          </cell>
          <cell r="R33">
            <v>5560.467</v>
          </cell>
          <cell r="U33">
            <v>170.53300000000036</v>
          </cell>
          <cell r="V33">
            <v>6907.022</v>
          </cell>
          <cell r="W33">
            <v>0</v>
          </cell>
          <cell r="X33">
            <v>8560.467</v>
          </cell>
        </row>
        <row r="34">
          <cell r="B34" t="str">
            <v>Trường Mầm non Hoa Mai</v>
          </cell>
          <cell r="C34" t="str">
            <v>KBSĐ</v>
          </cell>
          <cell r="D34">
            <v>7590549</v>
          </cell>
          <cell r="E34">
            <v>4463</v>
          </cell>
          <cell r="F34">
            <v>1140.584</v>
          </cell>
          <cell r="G34">
            <v>976.072</v>
          </cell>
          <cell r="I34">
            <v>956.066</v>
          </cell>
          <cell r="K34">
            <v>0</v>
          </cell>
          <cell r="O34">
            <v>0</v>
          </cell>
          <cell r="P34">
            <v>1570</v>
          </cell>
          <cell r="Q34">
            <v>441.326</v>
          </cell>
          <cell r="R34">
            <v>416.99</v>
          </cell>
          <cell r="S34">
            <v>24.336000000000013</v>
          </cell>
          <cell r="U34">
            <v>1128.674</v>
          </cell>
          <cell r="V34">
            <v>1373.056</v>
          </cell>
          <cell r="W34">
            <v>44.341999999999985</v>
          </cell>
          <cell r="X34">
            <v>1581.91</v>
          </cell>
        </row>
        <row r="35">
          <cell r="B35" t="str">
            <v> - Thể thao</v>
          </cell>
        </row>
        <row r="36">
          <cell r="B36" t="str">
            <v> - Văn hóa xã hội</v>
          </cell>
          <cell r="E36">
            <v>8815.138</v>
          </cell>
          <cell r="F36">
            <v>7061.475</v>
          </cell>
          <cell r="G36">
            <v>19.972</v>
          </cell>
          <cell r="H36">
            <v>0</v>
          </cell>
          <cell r="I36">
            <v>19.972</v>
          </cell>
          <cell r="J36">
            <v>0</v>
          </cell>
          <cell r="K36">
            <v>0</v>
          </cell>
          <cell r="L36">
            <v>0</v>
          </cell>
          <cell r="M36">
            <v>0</v>
          </cell>
          <cell r="N36">
            <v>0</v>
          </cell>
          <cell r="O36">
            <v>0</v>
          </cell>
          <cell r="P36">
            <v>1104</v>
          </cell>
          <cell r="Q36">
            <v>1020.361</v>
          </cell>
          <cell r="R36">
            <v>1020.361</v>
          </cell>
          <cell r="S36">
            <v>0</v>
          </cell>
          <cell r="T36">
            <v>0</v>
          </cell>
          <cell r="U36">
            <v>83.63900000000001</v>
          </cell>
          <cell r="V36">
            <v>1040.333</v>
          </cell>
          <cell r="W36">
            <v>0</v>
          </cell>
          <cell r="X36">
            <v>8081.836</v>
          </cell>
        </row>
        <row r="37">
          <cell r="B37" t="str">
            <v>Cụm dân cư Tân Khánh Đông (KDC Đông Qưới - phần sinh lợi)</v>
          </cell>
          <cell r="C37" t="str">
            <v>KBSĐ</v>
          </cell>
          <cell r="D37">
            <v>7613377</v>
          </cell>
          <cell r="E37">
            <v>8815.138</v>
          </cell>
          <cell r="F37">
            <v>7061.475</v>
          </cell>
          <cell r="G37">
            <v>19.972</v>
          </cell>
          <cell r="I37">
            <v>19.972</v>
          </cell>
          <cell r="K37">
            <v>0</v>
          </cell>
          <cell r="O37">
            <v>0</v>
          </cell>
          <cell r="P37">
            <v>1104</v>
          </cell>
          <cell r="Q37">
            <v>1020.361</v>
          </cell>
          <cell r="R37">
            <v>1020.361</v>
          </cell>
          <cell r="U37">
            <v>83.63900000000001</v>
          </cell>
          <cell r="V37">
            <v>1040.333</v>
          </cell>
          <cell r="W37">
            <v>0</v>
          </cell>
          <cell r="X37">
            <v>8081.836</v>
          </cell>
        </row>
        <row r="38">
          <cell r="B38" t="str">
            <v> - Thương mại du lịch</v>
          </cell>
          <cell r="E38">
            <v>48149.97900000001</v>
          </cell>
          <cell r="F38">
            <v>12764.539999999999</v>
          </cell>
          <cell r="G38">
            <v>775.962</v>
          </cell>
          <cell r="H38">
            <v>0</v>
          </cell>
          <cell r="I38">
            <v>775.962</v>
          </cell>
          <cell r="J38">
            <v>0</v>
          </cell>
          <cell r="K38">
            <v>0</v>
          </cell>
          <cell r="L38">
            <v>0</v>
          </cell>
          <cell r="M38">
            <v>0</v>
          </cell>
          <cell r="N38">
            <v>0</v>
          </cell>
          <cell r="O38">
            <v>0</v>
          </cell>
          <cell r="P38">
            <v>4783.576999999999</v>
          </cell>
          <cell r="Q38">
            <v>2558.3329999999996</v>
          </cell>
          <cell r="R38">
            <v>2558.3329999999996</v>
          </cell>
          <cell r="S38">
            <v>0</v>
          </cell>
          <cell r="T38">
            <v>0</v>
          </cell>
          <cell r="U38">
            <v>2225.244</v>
          </cell>
          <cell r="V38">
            <v>3334.2949999999996</v>
          </cell>
          <cell r="W38">
            <v>0</v>
          </cell>
          <cell r="X38">
            <v>15322.873</v>
          </cell>
        </row>
        <row r="39">
          <cell r="B39" t="str">
            <v>Cảnh Quan làng hoa Sa Nhiên - Cai Dao</v>
          </cell>
          <cell r="C39" t="str">
            <v>KBSĐ</v>
          </cell>
          <cell r="D39">
            <v>7583497</v>
          </cell>
          <cell r="E39">
            <v>8794.741</v>
          </cell>
          <cell r="F39">
            <v>4655.75</v>
          </cell>
          <cell r="G39">
            <v>775.962</v>
          </cell>
          <cell r="I39">
            <v>775.962</v>
          </cell>
          <cell r="O39">
            <v>0</v>
          </cell>
          <cell r="P39">
            <v>2393</v>
          </cell>
          <cell r="Q39">
            <v>2363.756</v>
          </cell>
          <cell r="R39">
            <v>2363.756</v>
          </cell>
          <cell r="U39">
            <v>29.244000000000142</v>
          </cell>
          <cell r="V39">
            <v>3139.718</v>
          </cell>
          <cell r="W39">
            <v>0</v>
          </cell>
          <cell r="X39">
            <v>7019.505999999999</v>
          </cell>
        </row>
        <row r="40">
          <cell r="B40" t="str">
            <v> Chợ cá Sa Đéc (vốn dân 50%, nhà nước 50%)</v>
          </cell>
          <cell r="C40" t="str">
            <v>KBSĐ</v>
          </cell>
          <cell r="D40">
            <v>7424352</v>
          </cell>
          <cell r="E40">
            <v>2921</v>
          </cell>
          <cell r="F40">
            <v>1258.486</v>
          </cell>
          <cell r="P40">
            <v>136.528</v>
          </cell>
          <cell r="Q40">
            <v>136.528</v>
          </cell>
          <cell r="R40">
            <v>136.528</v>
          </cell>
          <cell r="U40">
            <v>0</v>
          </cell>
          <cell r="V40">
            <v>136.528</v>
          </cell>
          <cell r="W40">
            <v>0</v>
          </cell>
          <cell r="X40">
            <v>1395.0140000000001</v>
          </cell>
        </row>
        <row r="41">
          <cell r="B41" t="str">
            <v> Chợ Nông sản thành phố (vốn dân 50%, nhà nước 50%)</v>
          </cell>
          <cell r="C41" t="str">
            <v>KBSĐ</v>
          </cell>
          <cell r="D41">
            <v>7527631</v>
          </cell>
          <cell r="E41">
            <v>6413</v>
          </cell>
          <cell r="F41">
            <v>3038.02</v>
          </cell>
          <cell r="P41">
            <v>58.049</v>
          </cell>
          <cell r="Q41">
            <v>58.049</v>
          </cell>
          <cell r="R41">
            <v>58.049</v>
          </cell>
          <cell r="U41">
            <v>0</v>
          </cell>
          <cell r="V41">
            <v>58.049</v>
          </cell>
          <cell r="W41">
            <v>0</v>
          </cell>
          <cell r="X41">
            <v>3096.069</v>
          </cell>
        </row>
        <row r="42">
          <cell r="B42" t="str">
            <v>Hạ tầng phát triển du lịch thành phố Sa Đéc (hạng mục: đường Lê Lợi và đường Ông Thung Cai Dao)- đối ứng vốn tỉnh hỗ trợ</v>
          </cell>
          <cell r="C42" t="str">
            <v>KBSĐ</v>
          </cell>
          <cell r="D42">
            <v>7563027</v>
          </cell>
          <cell r="E42">
            <v>30021.238</v>
          </cell>
          <cell r="F42">
            <v>3812.284</v>
          </cell>
          <cell r="P42">
            <v>2196</v>
          </cell>
          <cell r="U42">
            <v>2196</v>
          </cell>
          <cell r="V42">
            <v>0</v>
          </cell>
          <cell r="W42">
            <v>0</v>
          </cell>
          <cell r="X42">
            <v>3812.284</v>
          </cell>
        </row>
        <row r="43">
          <cell r="B43" t="str">
            <v> - Giao thông</v>
          </cell>
          <cell r="E43">
            <v>326215.86009999993</v>
          </cell>
          <cell r="F43">
            <v>76904.895</v>
          </cell>
          <cell r="G43">
            <v>10988.402999999998</v>
          </cell>
          <cell r="H43">
            <v>0</v>
          </cell>
          <cell r="I43">
            <v>9794.153999999999</v>
          </cell>
          <cell r="J43">
            <v>0</v>
          </cell>
          <cell r="K43">
            <v>0</v>
          </cell>
          <cell r="L43">
            <v>0</v>
          </cell>
          <cell r="M43">
            <v>0</v>
          </cell>
          <cell r="N43">
            <v>0</v>
          </cell>
          <cell r="O43">
            <v>0</v>
          </cell>
          <cell r="P43">
            <v>45353.854999999996</v>
          </cell>
          <cell r="Q43">
            <v>41274.072</v>
          </cell>
          <cell r="R43">
            <v>34698.977999999996</v>
          </cell>
          <cell r="S43">
            <v>6575.094</v>
          </cell>
          <cell r="T43">
            <v>0</v>
          </cell>
          <cell r="U43">
            <v>4079.7829999999994</v>
          </cell>
          <cell r="V43">
            <v>44493.132</v>
          </cell>
          <cell r="W43">
            <v>7769.343</v>
          </cell>
          <cell r="X43">
            <v>118178.967</v>
          </cell>
        </row>
        <row r="44">
          <cell r="B44" t="str">
            <v>Đường chùa giáp ranh huyện Châu Thành</v>
          </cell>
          <cell r="C44" t="str">
            <v>KBSĐ</v>
          </cell>
          <cell r="D44">
            <v>7540469</v>
          </cell>
          <cell r="E44">
            <v>2905.786</v>
          </cell>
          <cell r="F44">
            <v>2290.534</v>
          </cell>
          <cell r="G44">
            <v>34.981</v>
          </cell>
          <cell r="I44">
            <v>34.981</v>
          </cell>
          <cell r="O44">
            <v>0</v>
          </cell>
          <cell r="P44">
            <v>25.907</v>
          </cell>
          <cell r="Q44">
            <v>25.907</v>
          </cell>
          <cell r="R44">
            <v>25.907</v>
          </cell>
          <cell r="U44">
            <v>0</v>
          </cell>
          <cell r="V44">
            <v>60.888000000000005</v>
          </cell>
          <cell r="W44">
            <v>0</v>
          </cell>
          <cell r="X44">
            <v>2316.4410000000003</v>
          </cell>
        </row>
        <row r="45">
          <cell r="B45" t="str">
            <v>Đường Xếp Mương Đào</v>
          </cell>
          <cell r="C45" t="str">
            <v>KBSĐ</v>
          </cell>
          <cell r="D45">
            <v>7545080</v>
          </cell>
          <cell r="E45">
            <v>7445.411</v>
          </cell>
          <cell r="F45">
            <v>300</v>
          </cell>
          <cell r="I45">
            <v>0</v>
          </cell>
          <cell r="K45">
            <v>0</v>
          </cell>
          <cell r="O45">
            <v>0</v>
          </cell>
          <cell r="P45">
            <v>538</v>
          </cell>
          <cell r="Q45">
            <v>532.508</v>
          </cell>
          <cell r="R45">
            <v>532.508</v>
          </cell>
          <cell r="U45">
            <v>5.491999999999962</v>
          </cell>
          <cell r="V45">
            <v>532.508</v>
          </cell>
          <cell r="W45">
            <v>0</v>
          </cell>
          <cell r="X45">
            <v>832.508</v>
          </cell>
        </row>
        <row r="46">
          <cell r="B46" t="str">
            <v>Đường từ Nguyễn Sinh Sắc đến Khu Liên hợp thể dục thể thao</v>
          </cell>
          <cell r="C46" t="str">
            <v>KBSĐ</v>
          </cell>
          <cell r="D46">
            <v>7562657</v>
          </cell>
          <cell r="E46">
            <v>45252.975</v>
          </cell>
          <cell r="F46">
            <v>14000</v>
          </cell>
          <cell r="G46">
            <v>10490.362</v>
          </cell>
          <cell r="I46">
            <v>9296.113</v>
          </cell>
          <cell r="O46">
            <v>0</v>
          </cell>
          <cell r="P46">
            <v>20000</v>
          </cell>
          <cell r="Q46">
            <v>19987.363</v>
          </cell>
          <cell r="R46">
            <v>19587.363</v>
          </cell>
          <cell r="S46">
            <v>400</v>
          </cell>
          <cell r="U46">
            <v>12.636999999998807</v>
          </cell>
          <cell r="V46">
            <v>28883.476000000002</v>
          </cell>
          <cell r="W46">
            <v>1594.2489999999998</v>
          </cell>
          <cell r="X46">
            <v>33987.363</v>
          </cell>
        </row>
        <row r="47">
          <cell r="B47" t="str">
            <v>Cầu Tư Ú</v>
          </cell>
          <cell r="C47" t="str">
            <v>KBSĐ</v>
          </cell>
          <cell r="D47">
            <v>7600800</v>
          </cell>
          <cell r="E47">
            <v>2995</v>
          </cell>
          <cell r="F47">
            <v>1995.535</v>
          </cell>
          <cell r="G47">
            <v>463.06</v>
          </cell>
          <cell r="I47">
            <v>463.06</v>
          </cell>
          <cell r="O47">
            <v>0</v>
          </cell>
          <cell r="P47">
            <v>1457</v>
          </cell>
          <cell r="Q47">
            <v>1426.995</v>
          </cell>
          <cell r="R47">
            <v>1426.995</v>
          </cell>
          <cell r="U47">
            <v>30.00500000000011</v>
          </cell>
          <cell r="V47">
            <v>1890.0549999999998</v>
          </cell>
          <cell r="W47">
            <v>0</v>
          </cell>
          <cell r="X47">
            <v>3422.5299999999997</v>
          </cell>
        </row>
        <row r="48">
          <cell r="B48" t="str">
            <v>Đường rạch Trâm Bầu</v>
          </cell>
          <cell r="C48" t="str">
            <v>KBSĐ</v>
          </cell>
          <cell r="D48">
            <v>7613511</v>
          </cell>
          <cell r="E48">
            <v>3945</v>
          </cell>
          <cell r="F48">
            <v>390.357</v>
          </cell>
          <cell r="I48">
            <v>0</v>
          </cell>
          <cell r="J48">
            <v>0</v>
          </cell>
          <cell r="K48">
            <v>0</v>
          </cell>
          <cell r="L48">
            <v>0</v>
          </cell>
          <cell r="M48">
            <v>0</v>
          </cell>
          <cell r="N48">
            <v>0</v>
          </cell>
          <cell r="O48">
            <v>0</v>
          </cell>
          <cell r="P48">
            <v>1800</v>
          </cell>
          <cell r="Q48">
            <v>1505.471</v>
          </cell>
          <cell r="R48">
            <v>656.348</v>
          </cell>
          <cell r="S48">
            <v>849.123</v>
          </cell>
          <cell r="U48">
            <v>294.529</v>
          </cell>
          <cell r="V48">
            <v>656.348</v>
          </cell>
          <cell r="W48">
            <v>849.123</v>
          </cell>
          <cell r="X48">
            <v>1895.828</v>
          </cell>
        </row>
        <row r="49">
          <cell r="B49" t="str">
            <v>Mở rộng đường rạch Chùa bờ trái ( ĐT 848- Trường MG Tân An )</v>
          </cell>
          <cell r="C49" t="str">
            <v>KBSĐ</v>
          </cell>
          <cell r="D49">
            <v>7613510</v>
          </cell>
          <cell r="E49">
            <v>1983</v>
          </cell>
          <cell r="F49">
            <v>633.789</v>
          </cell>
          <cell r="I49">
            <v>0</v>
          </cell>
          <cell r="J49">
            <v>0</v>
          </cell>
          <cell r="K49">
            <v>0</v>
          </cell>
          <cell r="L49">
            <v>0</v>
          </cell>
          <cell r="M49">
            <v>0</v>
          </cell>
          <cell r="O49">
            <v>0</v>
          </cell>
          <cell r="P49">
            <v>1153</v>
          </cell>
          <cell r="Q49">
            <v>1107.993</v>
          </cell>
          <cell r="R49">
            <v>1107.993</v>
          </cell>
          <cell r="S49">
            <v>0</v>
          </cell>
          <cell r="T49">
            <v>0</v>
          </cell>
          <cell r="U49">
            <v>45.00700000000006</v>
          </cell>
          <cell r="V49">
            <v>1107.993</v>
          </cell>
          <cell r="W49">
            <v>0</v>
          </cell>
          <cell r="X49">
            <v>1741.782</v>
          </cell>
        </row>
        <row r="50">
          <cell r="B50" t="str">
            <v>Đường Cao mên trên bờ phải (đoạn từ tỉnh lộ ĐT 852 đến nhà Ông Huỳnh Văn Dương)</v>
          </cell>
          <cell r="C50" t="str">
            <v>KBSĐ</v>
          </cell>
          <cell r="D50">
            <v>7665010</v>
          </cell>
          <cell r="E50">
            <v>3691</v>
          </cell>
          <cell r="P50">
            <v>2404</v>
          </cell>
          <cell r="Q50">
            <v>2404</v>
          </cell>
          <cell r="R50">
            <v>1754.305</v>
          </cell>
          <cell r="S50">
            <v>649.6949999999999</v>
          </cell>
          <cell r="T50">
            <v>0</v>
          </cell>
          <cell r="U50">
            <v>0</v>
          </cell>
          <cell r="V50">
            <v>1754.305</v>
          </cell>
          <cell r="W50">
            <v>649.6949999999999</v>
          </cell>
          <cell r="X50">
            <v>2404</v>
          </cell>
        </row>
        <row r="51">
          <cell r="B51" t="str">
            <v>Đường mới song song đường Nguyễn  Sinh Sắc (từ Hùng Vương - ĐT 848 nối dài)</v>
          </cell>
          <cell r="C51" t="str">
            <v>KBSĐ</v>
          </cell>
          <cell r="D51">
            <v>7479789</v>
          </cell>
          <cell r="E51">
            <v>37979</v>
          </cell>
          <cell r="F51">
            <v>397.336</v>
          </cell>
          <cell r="P51">
            <v>5791</v>
          </cell>
          <cell r="Q51">
            <v>5791</v>
          </cell>
          <cell r="R51">
            <v>5791</v>
          </cell>
          <cell r="S51">
            <v>0</v>
          </cell>
          <cell r="T51">
            <v>0</v>
          </cell>
          <cell r="U51">
            <v>0</v>
          </cell>
          <cell r="V51">
            <v>5791</v>
          </cell>
          <cell r="W51">
            <v>0</v>
          </cell>
          <cell r="X51">
            <v>6188.336</v>
          </cell>
        </row>
        <row r="52">
          <cell r="B52" t="str">
            <v>Đường vào khu du lịch làng hoa kiểng thành phố Sa Đéc</v>
          </cell>
          <cell r="C52" t="str">
            <v>KBSĐ</v>
          </cell>
          <cell r="D52">
            <v>7487376</v>
          </cell>
          <cell r="E52">
            <v>81029.58</v>
          </cell>
          <cell r="P52">
            <v>10746</v>
          </cell>
          <cell r="Q52">
            <v>7053.887</v>
          </cell>
          <cell r="R52">
            <v>2377.611</v>
          </cell>
          <cell r="S52">
            <v>4676.276</v>
          </cell>
          <cell r="T52">
            <v>0</v>
          </cell>
          <cell r="U52">
            <v>3692.1130000000003</v>
          </cell>
          <cell r="V52">
            <v>2377.611</v>
          </cell>
          <cell r="W52">
            <v>4676.276</v>
          </cell>
          <cell r="X52">
            <v>7053.887</v>
          </cell>
        </row>
        <row r="53">
          <cell r="B53" t="str">
            <v>Cầu Rạch Rắn</v>
          </cell>
          <cell r="C53" t="str">
            <v>KBSĐ</v>
          </cell>
          <cell r="D53">
            <v>7316774</v>
          </cell>
          <cell r="E53">
            <v>26869.555</v>
          </cell>
          <cell r="F53">
            <v>20356.049</v>
          </cell>
          <cell r="P53">
            <v>289.008</v>
          </cell>
          <cell r="Q53">
            <v>289.008</v>
          </cell>
          <cell r="R53">
            <v>289.008</v>
          </cell>
          <cell r="U53">
            <v>0</v>
          </cell>
          <cell r="V53">
            <v>289.008</v>
          </cell>
          <cell r="W53">
            <v>0</v>
          </cell>
          <cell r="X53">
            <v>20645.057</v>
          </cell>
        </row>
        <row r="54">
          <cell r="B54" t="str">
            <v>Đươờng Lòng Lai bờ phải đoạn 2</v>
          </cell>
          <cell r="C54" t="str">
            <v>KBSĐ</v>
          </cell>
          <cell r="D54">
            <v>7511922</v>
          </cell>
          <cell r="E54">
            <v>5509.296</v>
          </cell>
          <cell r="P54">
            <v>33.123</v>
          </cell>
          <cell r="Q54">
            <v>33.123</v>
          </cell>
          <cell r="R54">
            <v>33.123</v>
          </cell>
          <cell r="U54">
            <v>0</v>
          </cell>
          <cell r="V54">
            <v>33.123</v>
          </cell>
          <cell r="W54">
            <v>0</v>
          </cell>
          <cell r="X54">
            <v>33.123</v>
          </cell>
        </row>
        <row r="55">
          <cell r="B55" t="str">
            <v>Cầu Rạch Bà Điếc</v>
          </cell>
          <cell r="C55" t="str">
            <v>KBSĐ</v>
          </cell>
          <cell r="D55">
            <v>7557549</v>
          </cell>
          <cell r="E55">
            <v>1793.076</v>
          </cell>
          <cell r="F55">
            <v>1563.567</v>
          </cell>
          <cell r="P55">
            <v>15.114</v>
          </cell>
          <cell r="Q55">
            <v>15.114</v>
          </cell>
          <cell r="R55">
            <v>15.114</v>
          </cell>
          <cell r="U55">
            <v>0</v>
          </cell>
          <cell r="V55">
            <v>15.114</v>
          </cell>
          <cell r="W55">
            <v>0</v>
          </cell>
          <cell r="X55">
            <v>1578.681</v>
          </cell>
        </row>
        <row r="56">
          <cell r="B56" t="str">
            <v>Đường cặp rạch nàng Hai (cây me) Trần Phú đến Nguyễn Văn Phát</v>
          </cell>
          <cell r="C56" t="str">
            <v>KBSĐ</v>
          </cell>
          <cell r="D56">
            <v>7427242</v>
          </cell>
          <cell r="E56">
            <v>5160.762</v>
          </cell>
          <cell r="F56">
            <v>3081.231</v>
          </cell>
          <cell r="P56">
            <v>21.203</v>
          </cell>
          <cell r="Q56">
            <v>21.203</v>
          </cell>
          <cell r="R56">
            <v>21.203</v>
          </cell>
          <cell r="U56">
            <v>0</v>
          </cell>
          <cell r="V56">
            <v>21.203</v>
          </cell>
          <cell r="W56">
            <v>0</v>
          </cell>
          <cell r="X56">
            <v>3102.434</v>
          </cell>
        </row>
        <row r="57">
          <cell r="B57" t="str">
            <v>Đường kênh Đốc Phủ Hiền bờ phải nối dài</v>
          </cell>
          <cell r="C57" t="str">
            <v>KBSĐ</v>
          </cell>
          <cell r="D57">
            <v>7498677</v>
          </cell>
          <cell r="E57">
            <v>1786.27</v>
          </cell>
          <cell r="F57">
            <v>1004.542</v>
          </cell>
          <cell r="P57">
            <v>7.468</v>
          </cell>
          <cell r="Q57">
            <v>7.468</v>
          </cell>
          <cell r="R57">
            <v>7.468</v>
          </cell>
          <cell r="U57">
            <v>0</v>
          </cell>
          <cell r="V57">
            <v>7.468</v>
          </cell>
          <cell r="W57">
            <v>0</v>
          </cell>
          <cell r="X57">
            <v>1012.01</v>
          </cell>
        </row>
        <row r="58">
          <cell r="B58" t="str">
            <v>Khu dân cư nhà ở xã hội Tân Phú Đông (Phú Hòa)</v>
          </cell>
          <cell r="C58" t="str">
            <v>KBSĐ</v>
          </cell>
          <cell r="D58">
            <v>7434352</v>
          </cell>
          <cell r="E58">
            <v>13382.875</v>
          </cell>
          <cell r="P58">
            <v>48.61</v>
          </cell>
          <cell r="Q58">
            <v>48.61</v>
          </cell>
          <cell r="R58">
            <v>48.61</v>
          </cell>
          <cell r="U58">
            <v>0</v>
          </cell>
          <cell r="V58">
            <v>48.61</v>
          </cell>
          <cell r="W58">
            <v>0</v>
          </cell>
          <cell r="X58">
            <v>48.61</v>
          </cell>
        </row>
        <row r="59">
          <cell r="B59" t="str">
            <v>Tuyền cấp nước bờ trái QL 80 (cầu Đốc Phủ Hiền - Đội Thơ)</v>
          </cell>
          <cell r="C59" t="str">
            <v>KBSĐ</v>
          </cell>
          <cell r="D59">
            <v>7553437</v>
          </cell>
          <cell r="E59">
            <v>2715</v>
          </cell>
          <cell r="F59">
            <v>2318.735</v>
          </cell>
          <cell r="P59">
            <v>13.253</v>
          </cell>
          <cell r="Q59">
            <v>13.253</v>
          </cell>
          <cell r="R59">
            <v>13.253</v>
          </cell>
          <cell r="U59">
            <v>0</v>
          </cell>
          <cell r="V59">
            <v>13.253</v>
          </cell>
          <cell r="W59">
            <v>0</v>
          </cell>
          <cell r="X59">
            <v>2331.9880000000003</v>
          </cell>
        </row>
        <row r="60">
          <cell r="B60" t="str">
            <v> Hạ thế điện đường Ô bao tập đoàn 9 (vàm bà Chủ - vàm Cai Khoa).</v>
          </cell>
          <cell r="C60" t="str">
            <v>KBSĐ</v>
          </cell>
          <cell r="D60">
            <v>7564190</v>
          </cell>
          <cell r="E60">
            <v>763.36</v>
          </cell>
          <cell r="F60">
            <v>619.6129999999999</v>
          </cell>
          <cell r="P60">
            <v>14.914</v>
          </cell>
          <cell r="Q60">
            <v>14.914</v>
          </cell>
          <cell r="R60">
            <v>14.914</v>
          </cell>
          <cell r="U60">
            <v>0</v>
          </cell>
          <cell r="V60">
            <v>14.914</v>
          </cell>
          <cell r="W60">
            <v>0</v>
          </cell>
          <cell r="X60">
            <v>634.5269999999999</v>
          </cell>
        </row>
        <row r="61">
          <cell r="B61" t="str">
            <v>Đường Cái Bè</v>
          </cell>
          <cell r="C61" t="str">
            <v>KBSĐ</v>
          </cell>
          <cell r="D61">
            <v>7430212</v>
          </cell>
          <cell r="E61">
            <v>3184.449</v>
          </cell>
          <cell r="F61">
            <v>2039.849</v>
          </cell>
          <cell r="P61">
            <v>58.503</v>
          </cell>
          <cell r="Q61">
            <v>58.503</v>
          </cell>
          <cell r="R61">
            <v>58.503</v>
          </cell>
          <cell r="U61">
            <v>0</v>
          </cell>
          <cell r="V61">
            <v>58.503</v>
          </cell>
          <cell r="W61">
            <v>0</v>
          </cell>
          <cell r="X61">
            <v>2098.352</v>
          </cell>
        </row>
        <row r="62">
          <cell r="B62" t="str">
            <v>Khu trung tâm mua sắm Phú Mỹ, hạng mục: Đường giao thông từ đường Nguyễn Sinh Sắc đến dự án Tổ Ong vàng và đường Đ-03 (nối từ đường Đ-01 đến đường Đ-02)</v>
          </cell>
          <cell r="C62" t="str">
            <v>KBSĐ</v>
          </cell>
          <cell r="D62">
            <v>7617700</v>
          </cell>
          <cell r="E62">
            <v>8453.908</v>
          </cell>
          <cell r="F62">
            <v>7272.903</v>
          </cell>
          <cell r="P62">
            <v>81.544</v>
          </cell>
          <cell r="Q62">
            <v>81.544</v>
          </cell>
          <cell r="R62">
            <v>81.544</v>
          </cell>
          <cell r="U62">
            <v>0</v>
          </cell>
          <cell r="V62">
            <v>81.544</v>
          </cell>
          <cell r="W62">
            <v>0</v>
          </cell>
          <cell r="X62">
            <v>7354.447</v>
          </cell>
        </row>
        <row r="63">
          <cell r="B63" t="str">
            <v>Đường cặp rạch nàng Hai - cây me (Nguyễn Văn Phát-cầu Rạch Rẫy)</v>
          </cell>
          <cell r="C63" t="str">
            <v>KBSĐ</v>
          </cell>
          <cell r="D63">
            <v>7427247</v>
          </cell>
          <cell r="E63">
            <v>4117.52</v>
          </cell>
          <cell r="F63">
            <v>1904.4569999999999</v>
          </cell>
          <cell r="P63">
            <v>14.537</v>
          </cell>
          <cell r="Q63">
            <v>14.537</v>
          </cell>
          <cell r="R63">
            <v>14.537</v>
          </cell>
          <cell r="U63">
            <v>0</v>
          </cell>
          <cell r="V63">
            <v>14.537</v>
          </cell>
          <cell r="W63">
            <v>0</v>
          </cell>
          <cell r="X63">
            <v>1918.994</v>
          </cell>
        </row>
        <row r="64">
          <cell r="A64" t="str">
            <v> </v>
          </cell>
          <cell r="B64" t="str">
            <v>Đường Sa Nhiên Cai Dao</v>
          </cell>
          <cell r="C64" t="str">
            <v>KBSĐ</v>
          </cell>
          <cell r="D64">
            <v>7285871</v>
          </cell>
          <cell r="F64">
            <v>152.7</v>
          </cell>
          <cell r="P64">
            <v>9.441</v>
          </cell>
          <cell r="Q64">
            <v>9.441</v>
          </cell>
          <cell r="R64">
            <v>9.441</v>
          </cell>
          <cell r="U64">
            <v>0</v>
          </cell>
          <cell r="V64">
            <v>9.441</v>
          </cell>
          <cell r="W64">
            <v>0</v>
          </cell>
          <cell r="X64">
            <v>162.141</v>
          </cell>
        </row>
        <row r="65">
          <cell r="B65" t="str">
            <v>Đường cặp rạch nàng Hai - cây me (HTM-TTN)</v>
          </cell>
          <cell r="C65" t="str">
            <v>KBSĐ</v>
          </cell>
          <cell r="D65">
            <v>7426048</v>
          </cell>
          <cell r="E65">
            <v>7491.693</v>
          </cell>
          <cell r="F65">
            <v>3445.225</v>
          </cell>
          <cell r="P65">
            <v>28.425</v>
          </cell>
          <cell r="Q65">
            <v>28.425</v>
          </cell>
          <cell r="R65">
            <v>28.425</v>
          </cell>
          <cell r="U65">
            <v>0</v>
          </cell>
          <cell r="V65">
            <v>28.425</v>
          </cell>
          <cell r="W65">
            <v>0</v>
          </cell>
          <cell r="X65">
            <v>3473.65</v>
          </cell>
        </row>
        <row r="66">
          <cell r="B66" t="str">
            <v>HT điện hạ thế xã Tân Phú Đông (đường tránh QL 80 - bên phải)</v>
          </cell>
          <cell r="C66" t="str">
            <v>KBSĐ</v>
          </cell>
          <cell r="D66">
            <v>7513261</v>
          </cell>
          <cell r="E66">
            <v>1174</v>
          </cell>
          <cell r="F66">
            <v>797.298</v>
          </cell>
          <cell r="P66">
            <v>6.017</v>
          </cell>
          <cell r="Q66">
            <v>6.017</v>
          </cell>
          <cell r="R66">
            <v>6.017</v>
          </cell>
          <cell r="U66">
            <v>0</v>
          </cell>
          <cell r="V66">
            <v>6.017</v>
          </cell>
          <cell r="W66">
            <v>0</v>
          </cell>
          <cell r="X66">
            <v>803.315</v>
          </cell>
        </row>
        <row r="67">
          <cell r="B67" t="str">
            <v>Đường cặp rạch Bình Tiên</v>
          </cell>
          <cell r="C67" t="str">
            <v>KBSĐ</v>
          </cell>
          <cell r="D67">
            <v>7464372</v>
          </cell>
          <cell r="E67">
            <v>7698.18</v>
          </cell>
          <cell r="F67">
            <v>150.562</v>
          </cell>
          <cell r="P67">
            <v>32.664</v>
          </cell>
          <cell r="Q67">
            <v>32.664</v>
          </cell>
          <cell r="R67">
            <v>32.664</v>
          </cell>
          <cell r="U67">
            <v>0</v>
          </cell>
          <cell r="V67">
            <v>32.664</v>
          </cell>
          <cell r="W67">
            <v>0</v>
          </cell>
          <cell r="X67">
            <v>183.226</v>
          </cell>
        </row>
        <row r="68">
          <cell r="B68" t="str">
            <v>Đường Ngã Bát bờ trái đoạn 3</v>
          </cell>
          <cell r="C68" t="str">
            <v>KBSĐ</v>
          </cell>
          <cell r="D68">
            <v>7498685</v>
          </cell>
          <cell r="E68">
            <v>3670.8921</v>
          </cell>
          <cell r="P68">
            <v>22.292</v>
          </cell>
          <cell r="Q68">
            <v>22.292</v>
          </cell>
          <cell r="R68">
            <v>22.292</v>
          </cell>
          <cell r="U68">
            <v>0</v>
          </cell>
          <cell r="V68">
            <v>22.292</v>
          </cell>
          <cell r="W68">
            <v>0</v>
          </cell>
          <cell r="X68">
            <v>22.292</v>
          </cell>
        </row>
        <row r="69">
          <cell r="B69" t="str">
            <v>Cầu + Đường Tôn Đức Thắng nối dài </v>
          </cell>
          <cell r="C69" t="str">
            <v>KBSĐ</v>
          </cell>
          <cell r="D69">
            <v>7477364</v>
          </cell>
          <cell r="E69">
            <v>25796</v>
          </cell>
          <cell r="P69">
            <v>67.249</v>
          </cell>
          <cell r="Q69">
            <v>67.249</v>
          </cell>
          <cell r="R69">
            <v>67.249</v>
          </cell>
          <cell r="V69">
            <v>67.249</v>
          </cell>
          <cell r="W69">
            <v>0</v>
          </cell>
          <cell r="X69">
            <v>67.249</v>
          </cell>
        </row>
        <row r="70">
          <cell r="B70" t="str">
            <v>Bãi đỗ xe làng hoa ( Bồi thường + chi phí chuẩn bị đầu tư)</v>
          </cell>
          <cell r="C70" t="str">
            <v>KBSĐ</v>
          </cell>
          <cell r="D70">
            <v>7589654</v>
          </cell>
          <cell r="E70">
            <v>4557.782</v>
          </cell>
          <cell r="P70">
            <v>22.094</v>
          </cell>
          <cell r="Q70">
            <v>22.094</v>
          </cell>
          <cell r="R70">
            <v>22.094</v>
          </cell>
          <cell r="U70">
            <v>0</v>
          </cell>
          <cell r="V70">
            <v>22.094</v>
          </cell>
          <cell r="W70">
            <v>0</v>
          </cell>
          <cell r="X70">
            <v>22.094</v>
          </cell>
        </row>
        <row r="71">
          <cell r="B71" t="str">
            <v>Mở rộng đường Ngã Cạy bờ trái</v>
          </cell>
          <cell r="C71" t="str">
            <v>KBSĐ</v>
          </cell>
          <cell r="D71">
            <v>7565726</v>
          </cell>
          <cell r="E71">
            <v>5832</v>
          </cell>
          <cell r="F71">
            <v>4906.548</v>
          </cell>
          <cell r="P71">
            <v>377.759</v>
          </cell>
          <cell r="Q71">
            <v>377.759</v>
          </cell>
          <cell r="R71">
            <v>377.759</v>
          </cell>
          <cell r="U71">
            <v>0</v>
          </cell>
          <cell r="V71">
            <v>377.759</v>
          </cell>
          <cell r="W71">
            <v>0</v>
          </cell>
          <cell r="X71">
            <v>5284.307</v>
          </cell>
        </row>
        <row r="72">
          <cell r="B72" t="str">
            <v>Mở rộng đường rạch Chùa bờ trái ( ĐT 848- cầu Ba Nhạn)</v>
          </cell>
          <cell r="C72" t="str">
            <v>KBSĐ</v>
          </cell>
          <cell r="D72">
            <v>7557544</v>
          </cell>
          <cell r="E72">
            <v>2889.367</v>
          </cell>
          <cell r="F72">
            <v>1754.642</v>
          </cell>
          <cell r="P72">
            <v>6.381</v>
          </cell>
          <cell r="Q72">
            <v>6.381</v>
          </cell>
          <cell r="R72">
            <v>6.381</v>
          </cell>
          <cell r="U72">
            <v>0</v>
          </cell>
          <cell r="V72">
            <v>6.381</v>
          </cell>
          <cell r="W72">
            <v>0</v>
          </cell>
          <cell r="X72">
            <v>1761.0230000000001</v>
          </cell>
        </row>
        <row r="73">
          <cell r="B73" t="str">
            <v>Đường rạch Cao Mên (từ ĐT 852 đến cầu Miễu)</v>
          </cell>
          <cell r="C73" t="str">
            <v>KBSĐ</v>
          </cell>
          <cell r="D73">
            <v>7565466</v>
          </cell>
          <cell r="E73">
            <v>1118.959</v>
          </cell>
          <cell r="F73">
            <v>1061.874</v>
          </cell>
          <cell r="P73">
            <v>3.968</v>
          </cell>
          <cell r="Q73">
            <v>3.968</v>
          </cell>
          <cell r="R73">
            <v>3.968</v>
          </cell>
          <cell r="U73">
            <v>0</v>
          </cell>
          <cell r="V73">
            <v>3.968</v>
          </cell>
          <cell r="W73">
            <v>0</v>
          </cell>
          <cell r="X73">
            <v>1065.842</v>
          </cell>
        </row>
        <row r="74">
          <cell r="B74" t="str">
            <v>Đường Ngã Bát bờ trái đoạn 2</v>
          </cell>
          <cell r="C74" t="str">
            <v>KBSĐ</v>
          </cell>
          <cell r="D74">
            <v>7431808</v>
          </cell>
          <cell r="P74">
            <v>38.937</v>
          </cell>
          <cell r="Q74">
            <v>38.937</v>
          </cell>
          <cell r="R74">
            <v>38.937</v>
          </cell>
          <cell r="U74">
            <v>0</v>
          </cell>
          <cell r="V74">
            <v>38.937</v>
          </cell>
          <cell r="W74">
            <v>0</v>
          </cell>
          <cell r="X74">
            <v>38.937</v>
          </cell>
        </row>
        <row r="75">
          <cell r="B75" t="str">
            <v>Mở rộng đường cặp rạch Nàng Hai ( từ cầu Hồ Tùng Mậu- chùa Tây Hưng)</v>
          </cell>
          <cell r="C75" t="str">
            <v>KBSĐ</v>
          </cell>
          <cell r="D75">
            <v>7565471</v>
          </cell>
          <cell r="E75">
            <v>2779.304</v>
          </cell>
          <cell r="F75">
            <v>2430.882</v>
          </cell>
          <cell r="P75">
            <v>6.178</v>
          </cell>
          <cell r="Q75">
            <v>6.178</v>
          </cell>
          <cell r="R75">
            <v>6.178</v>
          </cell>
          <cell r="U75">
            <v>0</v>
          </cell>
          <cell r="V75">
            <v>6.178</v>
          </cell>
          <cell r="W75">
            <v>0</v>
          </cell>
          <cell r="X75">
            <v>2437.06</v>
          </cell>
        </row>
        <row r="76">
          <cell r="B76" t="str">
            <v> Mở rộng đường rạch Chùa bờ phải ( ĐT 848- cầu Hai Đường)</v>
          </cell>
          <cell r="C76" t="str">
            <v>KBSĐ</v>
          </cell>
          <cell r="D76">
            <v>7565464</v>
          </cell>
          <cell r="E76">
            <v>2244.86</v>
          </cell>
          <cell r="F76">
            <v>2036.667</v>
          </cell>
          <cell r="P76">
            <v>9.192</v>
          </cell>
          <cell r="Q76">
            <v>9.192</v>
          </cell>
          <cell r="R76">
            <v>9.192</v>
          </cell>
          <cell r="U76">
            <v>0</v>
          </cell>
          <cell r="V76">
            <v>9.192</v>
          </cell>
          <cell r="W76">
            <v>0</v>
          </cell>
          <cell r="X76">
            <v>2045.859</v>
          </cell>
        </row>
        <row r="77">
          <cell r="B77" t="str">
            <v>Khu dân cư khóm 3 phường 2</v>
          </cell>
          <cell r="C77" t="str">
            <v>KBSĐ</v>
          </cell>
          <cell r="D77">
            <v>7003702</v>
          </cell>
          <cell r="P77">
            <v>90.566</v>
          </cell>
          <cell r="Q77">
            <v>90.566</v>
          </cell>
          <cell r="R77">
            <v>90.566</v>
          </cell>
          <cell r="U77">
            <v>0</v>
          </cell>
          <cell r="V77">
            <v>90.566</v>
          </cell>
          <cell r="W77">
            <v>0</v>
          </cell>
          <cell r="X77">
            <v>90.566</v>
          </cell>
        </row>
        <row r="78">
          <cell r="B78" t="str">
            <v>Khu dân cư thương mại thành phố Sa Đéc</v>
          </cell>
          <cell r="C78" t="str">
            <v>KBSĐ</v>
          </cell>
          <cell r="D78">
            <v>7003798</v>
          </cell>
          <cell r="P78">
            <v>120.508</v>
          </cell>
          <cell r="Q78">
            <v>120.508</v>
          </cell>
          <cell r="R78">
            <v>120.508</v>
          </cell>
          <cell r="U78">
            <v>0</v>
          </cell>
          <cell r="V78">
            <v>120.508</v>
          </cell>
          <cell r="W78">
            <v>0</v>
          </cell>
          <cell r="X78">
            <v>120.508</v>
          </cell>
        </row>
        <row r="79">
          <cell r="B79" t="str">
            <v> - Cấp nước và dịch vụ công cộng</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row>
        <row r="82">
          <cell r="B82" t="str">
            <v> - Xử lý nước thải</v>
          </cell>
          <cell r="E82">
            <v>36417</v>
          </cell>
          <cell r="F82">
            <v>0</v>
          </cell>
          <cell r="G82">
            <v>0</v>
          </cell>
          <cell r="H82">
            <v>0</v>
          </cell>
          <cell r="I82">
            <v>0</v>
          </cell>
          <cell r="J82">
            <v>0</v>
          </cell>
          <cell r="K82">
            <v>0</v>
          </cell>
          <cell r="L82">
            <v>0</v>
          </cell>
          <cell r="M82">
            <v>0</v>
          </cell>
          <cell r="N82">
            <v>0</v>
          </cell>
          <cell r="O82">
            <v>0</v>
          </cell>
          <cell r="P82">
            <v>991</v>
          </cell>
          <cell r="Q82">
            <v>843.971</v>
          </cell>
          <cell r="R82">
            <v>843.971</v>
          </cell>
          <cell r="S82">
            <v>0</v>
          </cell>
          <cell r="T82">
            <v>0</v>
          </cell>
          <cell r="U82">
            <v>147.029</v>
          </cell>
          <cell r="V82">
            <v>843.971</v>
          </cell>
          <cell r="W82">
            <v>0</v>
          </cell>
          <cell r="X82">
            <v>843.971</v>
          </cell>
        </row>
        <row r="83">
          <cell r="B83" t="str">
            <v>Dự án xử lý nước thải, chất thải cải thiện môi trường làng nghề sản xuất bột chăn nuôi xã Tân Phú Đông</v>
          </cell>
          <cell r="C83" t="str">
            <v>KBSĐ</v>
          </cell>
          <cell r="D83">
            <v>7350488</v>
          </cell>
          <cell r="E83">
            <v>36417</v>
          </cell>
          <cell r="P83">
            <v>991</v>
          </cell>
          <cell r="Q83">
            <v>843.971</v>
          </cell>
          <cell r="R83">
            <v>843.971</v>
          </cell>
          <cell r="S83">
            <v>0</v>
          </cell>
          <cell r="T83">
            <v>0</v>
          </cell>
          <cell r="U83">
            <v>147.029</v>
          </cell>
          <cell r="V83">
            <v>843.971</v>
          </cell>
          <cell r="W83">
            <v>0</v>
          </cell>
          <cell r="X83">
            <v>843.971</v>
          </cell>
        </row>
        <row r="84">
          <cell r="B84" t="str">
            <v> - An ninh quốc phòng</v>
          </cell>
          <cell r="E84">
            <v>6451.631</v>
          </cell>
          <cell r="F84">
            <v>0</v>
          </cell>
          <cell r="G84">
            <v>0</v>
          </cell>
          <cell r="H84">
            <v>0</v>
          </cell>
          <cell r="I84">
            <v>0</v>
          </cell>
          <cell r="J84">
            <v>0</v>
          </cell>
          <cell r="K84">
            <v>0</v>
          </cell>
          <cell r="L84">
            <v>0</v>
          </cell>
          <cell r="M84">
            <v>0</v>
          </cell>
          <cell r="N84">
            <v>0</v>
          </cell>
          <cell r="O84">
            <v>0</v>
          </cell>
          <cell r="P84">
            <v>2613</v>
          </cell>
          <cell r="Q84">
            <v>2420.746</v>
          </cell>
          <cell r="R84">
            <v>2339.325</v>
          </cell>
          <cell r="S84">
            <v>81.421</v>
          </cell>
          <cell r="T84">
            <v>0</v>
          </cell>
          <cell r="U84">
            <v>192.2539999999999</v>
          </cell>
          <cell r="V84">
            <v>2339.325</v>
          </cell>
          <cell r="W84">
            <v>81.421</v>
          </cell>
          <cell r="X84">
            <v>2420.746</v>
          </cell>
        </row>
        <row r="85">
          <cell r="B85" t="str">
            <v>Trụ sở làm việc Công an và Ban chỉ huy quân sự xã Tân Phú Đông</v>
          </cell>
          <cell r="C85" t="str">
            <v>KBSĐ</v>
          </cell>
          <cell r="D85">
            <v>7639894</v>
          </cell>
          <cell r="E85">
            <v>4453.631</v>
          </cell>
          <cell r="P85">
            <v>1450</v>
          </cell>
          <cell r="Q85">
            <v>1257.746</v>
          </cell>
          <cell r="R85">
            <v>1257.746</v>
          </cell>
          <cell r="S85">
            <v>0</v>
          </cell>
          <cell r="T85">
            <v>0</v>
          </cell>
          <cell r="U85">
            <v>192.2539999999999</v>
          </cell>
          <cell r="V85">
            <v>1257.746</v>
          </cell>
          <cell r="W85">
            <v>0</v>
          </cell>
          <cell r="X85">
            <v>1257.746</v>
          </cell>
        </row>
        <row r="86">
          <cell r="B86" t="str">
            <v>Ban chỉ huy Quân sự. Hạng mục: Xây dựng nhà ở tập trung cho huấn luyện LLDBĐV-DQTV</v>
          </cell>
          <cell r="C86" t="str">
            <v>KBSĐ</v>
          </cell>
          <cell r="D86">
            <v>7004686</v>
          </cell>
          <cell r="E86">
            <v>1998</v>
          </cell>
          <cell r="P86">
            <v>1163</v>
          </cell>
          <cell r="Q86">
            <v>1163</v>
          </cell>
          <cell r="R86">
            <v>1081.579</v>
          </cell>
          <cell r="S86">
            <v>81.421</v>
          </cell>
          <cell r="T86">
            <v>0</v>
          </cell>
          <cell r="U86">
            <v>0</v>
          </cell>
          <cell r="V86">
            <v>1081.579</v>
          </cell>
          <cell r="W86">
            <v>81.421</v>
          </cell>
          <cell r="X86">
            <v>1163</v>
          </cell>
        </row>
        <row r="87">
          <cell r="B87" t="str">
            <v> - Quản lý nhà nước</v>
          </cell>
          <cell r="E87">
            <v>25939</v>
          </cell>
          <cell r="F87">
            <v>15123.39</v>
          </cell>
          <cell r="G87">
            <v>124.83500000000001</v>
          </cell>
          <cell r="H87">
            <v>0</v>
          </cell>
          <cell r="I87">
            <v>124.83500000000001</v>
          </cell>
          <cell r="J87">
            <v>0</v>
          </cell>
          <cell r="K87">
            <v>0</v>
          </cell>
          <cell r="L87">
            <v>0</v>
          </cell>
          <cell r="M87">
            <v>0</v>
          </cell>
          <cell r="N87">
            <v>0</v>
          </cell>
          <cell r="O87">
            <v>0</v>
          </cell>
          <cell r="P87">
            <v>340.641</v>
          </cell>
          <cell r="Q87">
            <v>270.015</v>
          </cell>
          <cell r="R87">
            <v>270.015</v>
          </cell>
          <cell r="S87">
            <v>0</v>
          </cell>
          <cell r="T87">
            <v>0</v>
          </cell>
          <cell r="U87">
            <v>70.626</v>
          </cell>
          <cell r="V87">
            <v>394.84999999999997</v>
          </cell>
          <cell r="W87">
            <v>0</v>
          </cell>
          <cell r="X87">
            <v>15393.404999999999</v>
          </cell>
        </row>
        <row r="88">
          <cell r="B88" t="str">
            <v> Trụ sở UBND TP Sa Đéc (nhà làm việc bộ phận tiếp nhận hồ sơ và trả kết quả)</v>
          </cell>
          <cell r="C88" t="str">
            <v>KBSĐ</v>
          </cell>
          <cell r="D88">
            <v>7402449</v>
          </cell>
          <cell r="E88">
            <v>14948</v>
          </cell>
          <cell r="F88">
            <v>10009.842</v>
          </cell>
          <cell r="G88">
            <v>31.804</v>
          </cell>
          <cell r="I88">
            <v>31.804</v>
          </cell>
          <cell r="O88">
            <v>0</v>
          </cell>
          <cell r="P88">
            <v>27.641</v>
          </cell>
          <cell r="Q88">
            <v>27.641</v>
          </cell>
          <cell r="R88">
            <v>27.641</v>
          </cell>
          <cell r="U88">
            <v>0</v>
          </cell>
          <cell r="V88">
            <v>59.44499999999999</v>
          </cell>
          <cell r="W88">
            <v>0</v>
          </cell>
          <cell r="X88">
            <v>10037.483</v>
          </cell>
        </row>
        <row r="89">
          <cell r="B89" t="str">
            <v>Trụ sở UBND phường 4 </v>
          </cell>
          <cell r="C89" t="str">
            <v>KBSĐ</v>
          </cell>
          <cell r="D89">
            <v>7580550</v>
          </cell>
          <cell r="E89">
            <v>5009</v>
          </cell>
          <cell r="F89">
            <v>361.918</v>
          </cell>
          <cell r="O89">
            <v>0</v>
          </cell>
          <cell r="P89">
            <v>313</v>
          </cell>
          <cell r="Q89">
            <v>242.374</v>
          </cell>
          <cell r="R89">
            <v>242.374</v>
          </cell>
          <cell r="U89">
            <v>70.626</v>
          </cell>
          <cell r="V89">
            <v>242.374</v>
          </cell>
          <cell r="W89">
            <v>0</v>
          </cell>
          <cell r="X89">
            <v>604.292</v>
          </cell>
        </row>
        <row r="90">
          <cell r="B90" t="str">
            <v>Khu hành chính UBND thành phố Sa Đéc, hạng mục: Cải tạo, sửa chữa</v>
          </cell>
          <cell r="C90" t="str">
            <v>KBSĐ</v>
          </cell>
          <cell r="D90">
            <v>7598699</v>
          </cell>
          <cell r="E90">
            <v>4321</v>
          </cell>
          <cell r="F90">
            <v>3648.807</v>
          </cell>
          <cell r="G90">
            <v>73.272</v>
          </cell>
          <cell r="I90">
            <v>73.272</v>
          </cell>
          <cell r="O90">
            <v>0</v>
          </cell>
          <cell r="P90">
            <v>0</v>
          </cell>
          <cell r="Q90">
            <v>0</v>
          </cell>
          <cell r="U90">
            <v>0</v>
          </cell>
          <cell r="V90">
            <v>73.272</v>
          </cell>
          <cell r="W90">
            <v>0</v>
          </cell>
          <cell r="X90">
            <v>3648.807</v>
          </cell>
        </row>
        <row r="91">
          <cell r="B91" t="str">
            <v>Mở rộng nâng cấp Trụ sở UBND phường Tân Quy Đông</v>
          </cell>
          <cell r="C91" t="str">
            <v>KBSĐ</v>
          </cell>
          <cell r="D91">
            <v>7613509</v>
          </cell>
          <cell r="E91">
            <v>1661</v>
          </cell>
          <cell r="F91">
            <v>1102.823</v>
          </cell>
          <cell r="G91">
            <v>19.759</v>
          </cell>
          <cell r="I91">
            <v>19.759</v>
          </cell>
          <cell r="O91">
            <v>0</v>
          </cell>
          <cell r="U91">
            <v>0</v>
          </cell>
          <cell r="V91">
            <v>19.759</v>
          </cell>
          <cell r="W91">
            <v>0</v>
          </cell>
          <cell r="X91">
            <v>1102.823</v>
          </cell>
        </row>
        <row r="92">
          <cell r="B92" t="str">
            <v> - Nông lâm thủy lợi</v>
          </cell>
        </row>
        <row r="93">
          <cell r="B93" t="str">
            <v>Vốn dự phòng chưa phân bổ (tất toán)</v>
          </cell>
          <cell r="P93">
            <v>12.926999999999907</v>
          </cell>
          <cell r="U93">
            <v>12.926999999999907</v>
          </cell>
        </row>
        <row r="94">
          <cell r="A94" t="str">
            <v>II</v>
          </cell>
          <cell r="B94" t="str">
            <v>Vốn CTMT QG:</v>
          </cell>
        </row>
        <row r="95">
          <cell r="A95">
            <v>1</v>
          </cell>
          <cell r="B95" t="str">
            <v>Chương trình MTQG...</v>
          </cell>
        </row>
        <row r="96">
          <cell r="B96" t="str">
            <v>Dự án...</v>
          </cell>
        </row>
        <row r="97">
          <cell r="A97" t="str">
            <v>III</v>
          </cell>
          <cell r="B97" t="str">
            <v>Vốn CTMT:</v>
          </cell>
        </row>
        <row r="98">
          <cell r="A98">
            <v>1</v>
          </cell>
          <cell r="B98" t="str">
            <v>Chương trình...</v>
          </cell>
        </row>
        <row r="99">
          <cell r="B99" t="str">
            <v>Dự án...</v>
          </cell>
        </row>
        <row r="100">
          <cell r="A100" t="str">
            <v>IV</v>
          </cell>
          <cell r="B100" t="str">
            <v>Vốn từ nguồn thu tiền sử dụng đất:</v>
          </cell>
          <cell r="E100">
            <v>314377.796</v>
          </cell>
          <cell r="F100">
            <v>55830.447</v>
          </cell>
          <cell r="G100">
            <v>7317.448</v>
          </cell>
          <cell r="H100">
            <v>2.826</v>
          </cell>
          <cell r="I100">
            <v>6398.64</v>
          </cell>
          <cell r="J100">
            <v>0</v>
          </cell>
          <cell r="K100">
            <v>0</v>
          </cell>
          <cell r="L100">
            <v>0</v>
          </cell>
          <cell r="M100">
            <v>0</v>
          </cell>
          <cell r="N100">
            <v>0</v>
          </cell>
          <cell r="O100">
            <v>0</v>
          </cell>
          <cell r="P100">
            <v>62086</v>
          </cell>
          <cell r="Q100">
            <v>54875.621</v>
          </cell>
          <cell r="R100">
            <v>52864.38399999999</v>
          </cell>
          <cell r="S100">
            <v>2011.2369999999992</v>
          </cell>
          <cell r="T100">
            <v>3855</v>
          </cell>
          <cell r="U100">
            <v>3355.379000000002</v>
          </cell>
          <cell r="V100">
            <v>59263.024</v>
          </cell>
          <cell r="W100">
            <v>2927.218999999999</v>
          </cell>
          <cell r="X100">
            <v>110703.242</v>
          </cell>
        </row>
        <row r="101">
          <cell r="B101" t="str">
            <v>Vốn Chuẩn bị đầu tư</v>
          </cell>
          <cell r="E101">
            <v>82608</v>
          </cell>
          <cell r="F101">
            <v>67.059</v>
          </cell>
          <cell r="G101">
            <v>0</v>
          </cell>
          <cell r="H101">
            <v>0</v>
          </cell>
          <cell r="I101">
            <v>0</v>
          </cell>
          <cell r="J101">
            <v>0</v>
          </cell>
          <cell r="K101">
            <v>0</v>
          </cell>
          <cell r="L101">
            <v>0</v>
          </cell>
          <cell r="M101">
            <v>0</v>
          </cell>
          <cell r="N101">
            <v>0</v>
          </cell>
          <cell r="O101">
            <v>0</v>
          </cell>
          <cell r="P101">
            <v>328</v>
          </cell>
          <cell r="Q101">
            <v>327.997</v>
          </cell>
          <cell r="R101">
            <v>327.997</v>
          </cell>
          <cell r="S101">
            <v>0</v>
          </cell>
          <cell r="T101">
            <v>0</v>
          </cell>
          <cell r="U101">
            <v>0.002999999999985903</v>
          </cell>
          <cell r="V101">
            <v>327.997</v>
          </cell>
          <cell r="W101">
            <v>0</v>
          </cell>
          <cell r="X101">
            <v>395.05600000000004</v>
          </cell>
        </row>
        <row r="102">
          <cell r="B102" t="str">
            <v> - Giáo dục Đào tạo</v>
          </cell>
          <cell r="E102">
            <v>82608</v>
          </cell>
          <cell r="F102">
            <v>67.059</v>
          </cell>
          <cell r="G102">
            <v>0</v>
          </cell>
          <cell r="H102">
            <v>0</v>
          </cell>
          <cell r="I102">
            <v>0</v>
          </cell>
          <cell r="J102">
            <v>0</v>
          </cell>
          <cell r="K102">
            <v>0</v>
          </cell>
          <cell r="L102">
            <v>0</v>
          </cell>
          <cell r="M102">
            <v>0</v>
          </cell>
          <cell r="N102">
            <v>0</v>
          </cell>
          <cell r="O102">
            <v>0</v>
          </cell>
          <cell r="P102">
            <v>328</v>
          </cell>
          <cell r="Q102">
            <v>327.997</v>
          </cell>
          <cell r="R102">
            <v>327.997</v>
          </cell>
          <cell r="S102">
            <v>0</v>
          </cell>
          <cell r="T102">
            <v>0</v>
          </cell>
          <cell r="U102">
            <v>0.002999999999985903</v>
          </cell>
          <cell r="V102">
            <v>327.997</v>
          </cell>
          <cell r="W102">
            <v>0</v>
          </cell>
          <cell r="X102">
            <v>395.05600000000004</v>
          </cell>
        </row>
        <row r="103">
          <cell r="B103" t="str">
            <v>Trường Trung học cơ sở Tân Phú Đông</v>
          </cell>
          <cell r="C103" t="str">
            <v>KBSĐ</v>
          </cell>
          <cell r="D103">
            <v>7565863</v>
          </cell>
          <cell r="E103">
            <v>82608</v>
          </cell>
          <cell r="F103">
            <v>67.059</v>
          </cell>
          <cell r="P103">
            <v>328</v>
          </cell>
          <cell r="Q103">
            <v>327.997</v>
          </cell>
          <cell r="R103">
            <v>327.997</v>
          </cell>
          <cell r="U103">
            <v>0.002999999999985903</v>
          </cell>
          <cell r="V103">
            <v>327.997</v>
          </cell>
          <cell r="W103">
            <v>0</v>
          </cell>
          <cell r="X103">
            <v>395.05600000000004</v>
          </cell>
        </row>
        <row r="104">
          <cell r="B104" t="str">
            <v> - Thể thao</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row>
        <row r="106">
          <cell r="B106" t="str">
            <v> - Văn hóa xã hội</v>
          </cell>
        </row>
        <row r="107">
          <cell r="B107" t="str">
            <v> - Thương mại du lịch</v>
          </cell>
        </row>
        <row r="108">
          <cell r="B108" t="str">
            <v> - Giao thông</v>
          </cell>
        </row>
        <row r="109">
          <cell r="B109" t="str">
            <v> - Cấp nước và dịch vụ công cộng</v>
          </cell>
        </row>
        <row r="110">
          <cell r="B110" t="str">
            <v> - Xử lý nước thải</v>
          </cell>
        </row>
        <row r="111">
          <cell r="B111" t="str">
            <v> - An ninh quốc phòng</v>
          </cell>
        </row>
        <row r="112">
          <cell r="B112" t="str">
            <v> - Quản lý nhà nước</v>
          </cell>
        </row>
        <row r="113">
          <cell r="B113" t="str">
            <v> - Nông lâm thủy lợi</v>
          </cell>
        </row>
        <row r="114">
          <cell r="B114" t="str">
            <v>Vốn thực hiện đầu tư</v>
          </cell>
          <cell r="E114">
            <v>231769.796</v>
          </cell>
          <cell r="F114">
            <v>55763.388</v>
          </cell>
          <cell r="G114">
            <v>7317.448</v>
          </cell>
          <cell r="H114">
            <v>2.826</v>
          </cell>
          <cell r="I114">
            <v>6398.64</v>
          </cell>
          <cell r="J114">
            <v>0</v>
          </cell>
          <cell r="K114">
            <v>0</v>
          </cell>
          <cell r="L114">
            <v>0</v>
          </cell>
          <cell r="M114">
            <v>0</v>
          </cell>
          <cell r="N114">
            <v>0</v>
          </cell>
          <cell r="O114">
            <v>0</v>
          </cell>
          <cell r="P114">
            <v>61758</v>
          </cell>
          <cell r="Q114">
            <v>54547.623999999996</v>
          </cell>
          <cell r="R114">
            <v>52536.38699999999</v>
          </cell>
          <cell r="S114">
            <v>2011.2369999999992</v>
          </cell>
          <cell r="T114">
            <v>3855</v>
          </cell>
          <cell r="U114">
            <v>3355.376000000002</v>
          </cell>
          <cell r="V114">
            <v>58935.026999999995</v>
          </cell>
          <cell r="W114">
            <v>2927.218999999999</v>
          </cell>
          <cell r="X114">
            <v>110308.186</v>
          </cell>
        </row>
        <row r="115">
          <cell r="B115" t="str">
            <v> - Giáo dục Đào tạo</v>
          </cell>
          <cell r="E115">
            <v>25834.633</v>
          </cell>
          <cell r="F115">
            <v>217.524</v>
          </cell>
          <cell r="G115">
            <v>0</v>
          </cell>
          <cell r="H115">
            <v>0</v>
          </cell>
          <cell r="I115">
            <v>0</v>
          </cell>
          <cell r="J115">
            <v>0</v>
          </cell>
          <cell r="K115">
            <v>0</v>
          </cell>
          <cell r="L115">
            <v>0</v>
          </cell>
          <cell r="M115">
            <v>0</v>
          </cell>
          <cell r="N115">
            <v>0</v>
          </cell>
          <cell r="O115">
            <v>0</v>
          </cell>
          <cell r="P115">
            <v>2742</v>
          </cell>
          <cell r="Q115">
            <v>1301.99</v>
          </cell>
          <cell r="R115">
            <v>1301.99</v>
          </cell>
          <cell r="S115">
            <v>0</v>
          </cell>
          <cell r="T115">
            <v>0</v>
          </cell>
          <cell r="U115">
            <v>1440.01</v>
          </cell>
          <cell r="V115">
            <v>1301.99</v>
          </cell>
          <cell r="W115">
            <v>0</v>
          </cell>
          <cell r="X115">
            <v>1519.5140000000001</v>
          </cell>
        </row>
        <row r="116">
          <cell r="B116" t="str">
            <v>Trường TH Vĩnh Phước (giai đoạn 2)</v>
          </cell>
          <cell r="C116" t="str">
            <v>KBSĐ</v>
          </cell>
          <cell r="D116">
            <v>7648511</v>
          </cell>
          <cell r="E116">
            <v>7514.633</v>
          </cell>
          <cell r="P116">
            <v>100</v>
          </cell>
          <cell r="Q116">
            <v>98.063</v>
          </cell>
          <cell r="R116">
            <v>98.063</v>
          </cell>
          <cell r="U116">
            <v>1.9369999999999976</v>
          </cell>
          <cell r="V116">
            <v>98.063</v>
          </cell>
          <cell r="W116">
            <v>0</v>
          </cell>
          <cell r="X116">
            <v>98.063</v>
          </cell>
        </row>
        <row r="117">
          <cell r="B117" t="str">
            <v>Trường Mầm non Tân Phú Đông 3</v>
          </cell>
          <cell r="C117" t="str">
            <v>KBSĐ,
KBĐT</v>
          </cell>
          <cell r="D117">
            <v>7482252</v>
          </cell>
          <cell r="E117">
            <v>18320</v>
          </cell>
          <cell r="F117">
            <v>217.524</v>
          </cell>
          <cell r="O117">
            <v>0</v>
          </cell>
          <cell r="P117">
            <v>2642</v>
          </cell>
          <cell r="Q117">
            <v>1203.927</v>
          </cell>
          <cell r="R117">
            <v>1203.927</v>
          </cell>
          <cell r="U117">
            <v>1438.073</v>
          </cell>
          <cell r="V117">
            <v>1203.927</v>
          </cell>
          <cell r="W117">
            <v>0</v>
          </cell>
          <cell r="X117">
            <v>1421.451</v>
          </cell>
        </row>
        <row r="118">
          <cell r="B118" t="str">
            <v> - Thể thao</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row>
        <row r="120">
          <cell r="B120" t="str">
            <v> - Văn hóa xã hội</v>
          </cell>
          <cell r="E120">
            <v>22746.149</v>
          </cell>
          <cell r="F120">
            <v>12801.624</v>
          </cell>
          <cell r="G120">
            <v>3123.204</v>
          </cell>
          <cell r="H120">
            <v>0</v>
          </cell>
          <cell r="I120">
            <v>3123.204</v>
          </cell>
          <cell r="J120">
            <v>0</v>
          </cell>
          <cell r="K120">
            <v>0</v>
          </cell>
          <cell r="L120">
            <v>0</v>
          </cell>
          <cell r="M120">
            <v>0</v>
          </cell>
          <cell r="N120">
            <v>0</v>
          </cell>
          <cell r="O120">
            <v>0</v>
          </cell>
          <cell r="P120">
            <v>9113</v>
          </cell>
          <cell r="Q120">
            <v>8328.726999999999</v>
          </cell>
          <cell r="R120">
            <v>8328.726999999999</v>
          </cell>
          <cell r="S120">
            <v>0</v>
          </cell>
          <cell r="T120">
            <v>0</v>
          </cell>
          <cell r="U120">
            <v>784.273000000001</v>
          </cell>
          <cell r="V120">
            <v>11451.930999999999</v>
          </cell>
          <cell r="W120">
            <v>0</v>
          </cell>
          <cell r="X120">
            <v>21130.351</v>
          </cell>
        </row>
        <row r="121">
          <cell r="B121" t="str">
            <v>Mở rộng nghĩa trang nhân dân giai đoạn 2</v>
          </cell>
          <cell r="C121" t="str">
            <v>KBSĐ</v>
          </cell>
          <cell r="D121">
            <v>7553805</v>
          </cell>
          <cell r="E121">
            <v>22746.149</v>
          </cell>
          <cell r="F121">
            <v>12801.624</v>
          </cell>
          <cell r="G121">
            <v>3123.204</v>
          </cell>
          <cell r="I121">
            <v>3123.204</v>
          </cell>
          <cell r="K121">
            <v>0</v>
          </cell>
          <cell r="O121">
            <v>0</v>
          </cell>
          <cell r="P121">
            <v>9113</v>
          </cell>
          <cell r="Q121">
            <v>8328.726999999999</v>
          </cell>
          <cell r="R121">
            <v>8328.726999999999</v>
          </cell>
          <cell r="U121">
            <v>784.273000000001</v>
          </cell>
          <cell r="V121">
            <v>11451.930999999999</v>
          </cell>
          <cell r="W121">
            <v>0</v>
          </cell>
          <cell r="X121">
            <v>21130.351</v>
          </cell>
        </row>
        <row r="123">
          <cell r="B123" t="str">
            <v> - Thương mại du lịch</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row>
        <row r="126">
          <cell r="B126" t="str">
            <v> - Giao thông</v>
          </cell>
          <cell r="E126">
            <v>169201.301</v>
          </cell>
          <cell r="F126">
            <v>39745.125</v>
          </cell>
          <cell r="G126">
            <v>1825.1680000000001</v>
          </cell>
          <cell r="H126">
            <v>2.826</v>
          </cell>
          <cell r="I126">
            <v>1791.551</v>
          </cell>
          <cell r="J126">
            <v>0</v>
          </cell>
          <cell r="K126">
            <v>0</v>
          </cell>
          <cell r="L126">
            <v>0</v>
          </cell>
          <cell r="M126">
            <v>0</v>
          </cell>
          <cell r="N126">
            <v>0</v>
          </cell>
          <cell r="O126">
            <v>0</v>
          </cell>
          <cell r="P126">
            <v>46048</v>
          </cell>
          <cell r="Q126">
            <v>44916.907</v>
          </cell>
          <cell r="R126">
            <v>42905.66999999999</v>
          </cell>
          <cell r="S126">
            <v>2011.2369999999992</v>
          </cell>
          <cell r="T126">
            <v>0</v>
          </cell>
          <cell r="U126">
            <v>1131.0930000000005</v>
          </cell>
          <cell r="V126">
            <v>44697.221</v>
          </cell>
          <cell r="W126">
            <v>2042.0279999999993</v>
          </cell>
          <cell r="X126">
            <v>84659.20599999999</v>
          </cell>
        </row>
        <row r="127">
          <cell r="B127" t="str">
            <v>Cầu + Đường Tôn Đức Thắng nối dài </v>
          </cell>
          <cell r="C127" t="str">
            <v>KBSĐ</v>
          </cell>
          <cell r="D127">
            <v>7477364</v>
          </cell>
          <cell r="E127">
            <v>25796</v>
          </cell>
          <cell r="F127">
            <v>13836.725999999999</v>
          </cell>
          <cell r="G127">
            <v>58.163</v>
          </cell>
          <cell r="I127">
            <v>58.163</v>
          </cell>
          <cell r="O127">
            <v>0</v>
          </cell>
          <cell r="U127">
            <v>0</v>
          </cell>
          <cell r="V127">
            <v>58.163</v>
          </cell>
          <cell r="W127">
            <v>0</v>
          </cell>
          <cell r="X127">
            <v>13836.725999999999</v>
          </cell>
        </row>
        <row r="128">
          <cell r="B128" t="str">
            <v>Đường Nguyễn Tất Thành nối dài </v>
          </cell>
          <cell r="C128" t="str">
            <v>KBSĐ</v>
          </cell>
          <cell r="D128">
            <v>7498196</v>
          </cell>
          <cell r="E128">
            <v>26668.076</v>
          </cell>
          <cell r="F128">
            <v>19015.262000000002</v>
          </cell>
          <cell r="G128">
            <v>1736.958</v>
          </cell>
          <cell r="I128">
            <v>1706.167</v>
          </cell>
          <cell r="O128">
            <v>0</v>
          </cell>
          <cell r="P128">
            <v>4000</v>
          </cell>
          <cell r="Q128">
            <v>3859.687</v>
          </cell>
          <cell r="R128">
            <v>3792.511</v>
          </cell>
          <cell r="S128">
            <v>67.17599999999993</v>
          </cell>
          <cell r="U128">
            <v>140.3130000000001</v>
          </cell>
          <cell r="V128">
            <v>5498.678</v>
          </cell>
          <cell r="W128">
            <v>97.9670000000001</v>
          </cell>
          <cell r="X128">
            <v>22874.949</v>
          </cell>
        </row>
        <row r="129">
          <cell r="B129" t="str">
            <v>Đường Kênh cùng Long Thắng</v>
          </cell>
          <cell r="C129" t="str">
            <v>KBSĐ</v>
          </cell>
          <cell r="D129">
            <v>7567685</v>
          </cell>
          <cell r="E129">
            <v>6771.195</v>
          </cell>
          <cell r="O129">
            <v>0</v>
          </cell>
          <cell r="P129">
            <v>3630</v>
          </cell>
          <cell r="Q129">
            <v>3630</v>
          </cell>
          <cell r="R129">
            <v>3210.825</v>
          </cell>
          <cell r="S129">
            <v>419.1750000000002</v>
          </cell>
          <cell r="U129">
            <v>0</v>
          </cell>
          <cell r="V129">
            <v>3210.825</v>
          </cell>
          <cell r="W129">
            <v>419.1750000000002</v>
          </cell>
          <cell r="X129">
            <v>3630</v>
          </cell>
        </row>
        <row r="130">
          <cell r="B130" t="str">
            <v>Đường Rạch chùa bờ phải (đoạn từ cầu Hai Đường đến đường Phạm Hữu Lầu nối dài)</v>
          </cell>
          <cell r="C130" t="str">
            <v>KBSĐ</v>
          </cell>
          <cell r="D130">
            <v>7649545</v>
          </cell>
          <cell r="E130">
            <v>2663.534</v>
          </cell>
          <cell r="P130">
            <v>1690</v>
          </cell>
          <cell r="Q130">
            <v>1542.185</v>
          </cell>
          <cell r="R130">
            <v>1138.987</v>
          </cell>
          <cell r="S130">
            <v>403.19799999999987</v>
          </cell>
          <cell r="U130">
            <v>147.81500000000005</v>
          </cell>
          <cell r="V130">
            <v>1138.987</v>
          </cell>
          <cell r="W130">
            <v>403.19799999999987</v>
          </cell>
          <cell r="X130">
            <v>1542.185</v>
          </cell>
        </row>
        <row r="131">
          <cell r="B131" t="str">
            <v> Nâng cấp đường Trần Hưng Đạo ( Trạm Y tế phường 1- cầu. Nàng Hai)</v>
          </cell>
          <cell r="C131" t="str">
            <v>KBSĐ</v>
          </cell>
          <cell r="D131">
            <v>7577833</v>
          </cell>
          <cell r="E131">
            <v>12089.768</v>
          </cell>
          <cell r="P131">
            <v>8400</v>
          </cell>
          <cell r="Q131">
            <v>7709.507</v>
          </cell>
          <cell r="R131">
            <v>7709.507</v>
          </cell>
          <cell r="U131">
            <v>690.4930000000004</v>
          </cell>
          <cell r="V131">
            <v>7709.507</v>
          </cell>
          <cell r="W131">
            <v>0</v>
          </cell>
          <cell r="X131">
            <v>7709.507</v>
          </cell>
        </row>
        <row r="132">
          <cell r="B132" t="str">
            <v>Đường mới song song đường Nguyễn  Sinh Sắc (từ Hùng Vương - ĐT 848 nối dài)</v>
          </cell>
          <cell r="C132" t="str">
            <v>KBSĐ</v>
          </cell>
          <cell r="D132">
            <v>7479789</v>
          </cell>
          <cell r="E132">
            <v>37979</v>
          </cell>
          <cell r="K132">
            <v>0</v>
          </cell>
          <cell r="P132">
            <v>26214</v>
          </cell>
          <cell r="Q132">
            <v>26214</v>
          </cell>
          <cell r="R132">
            <v>25093.915</v>
          </cell>
          <cell r="S132">
            <v>1120.0849999999991</v>
          </cell>
          <cell r="U132">
            <v>0</v>
          </cell>
          <cell r="V132">
            <v>25093.915</v>
          </cell>
          <cell r="W132">
            <v>1120.0849999999991</v>
          </cell>
          <cell r="X132">
            <v>26214</v>
          </cell>
        </row>
        <row r="133">
          <cell r="B133" t="str">
            <v>Đường vào khu công nghiệp C Sa Đéc mở rộng</v>
          </cell>
          <cell r="C133" t="str">
            <v>KBSĐ</v>
          </cell>
          <cell r="D133">
            <v>7410508</v>
          </cell>
          <cell r="E133">
            <v>22013.406</v>
          </cell>
          <cell r="P133">
            <v>1545</v>
          </cell>
          <cell r="Q133">
            <v>1406.598</v>
          </cell>
          <cell r="R133">
            <v>1406.598</v>
          </cell>
          <cell r="U133">
            <v>138.40200000000004</v>
          </cell>
          <cell r="V133">
            <v>1406.598</v>
          </cell>
          <cell r="W133">
            <v>0</v>
          </cell>
          <cell r="X133">
            <v>1406.598</v>
          </cell>
        </row>
        <row r="134">
          <cell r="B134" t="str">
            <v>Bố trí vốn đối ứng xây dựng trụ sở Ban CHQS phường Tân Quy Đông</v>
          </cell>
          <cell r="C134" t="str">
            <v>KBSĐ</v>
          </cell>
          <cell r="D134">
            <v>7004686</v>
          </cell>
          <cell r="E134">
            <v>27416.225</v>
          </cell>
          <cell r="P134">
            <v>400</v>
          </cell>
          <cell r="Q134">
            <v>400</v>
          </cell>
          <cell r="R134">
            <v>400</v>
          </cell>
          <cell r="U134">
            <v>0</v>
          </cell>
          <cell r="V134">
            <v>400</v>
          </cell>
          <cell r="W134">
            <v>0</v>
          </cell>
          <cell r="X134">
            <v>400</v>
          </cell>
        </row>
        <row r="135">
          <cell r="B135" t="str">
            <v> Đường nối cảnh quan kè sông Tiền, khu dân cư khóm 3 với đường dẫn bến phà</v>
          </cell>
          <cell r="C135" t="str">
            <v>KBSĐ</v>
          </cell>
          <cell r="D135">
            <v>7549256</v>
          </cell>
          <cell r="E135">
            <v>3246.315</v>
          </cell>
          <cell r="F135">
            <v>2673.131</v>
          </cell>
          <cell r="G135">
            <v>30.047</v>
          </cell>
          <cell r="H135">
            <v>2.826</v>
          </cell>
          <cell r="I135">
            <v>27.221</v>
          </cell>
          <cell r="O135">
            <v>0</v>
          </cell>
          <cell r="P135">
            <v>169</v>
          </cell>
          <cell r="Q135">
            <v>154.93</v>
          </cell>
          <cell r="R135">
            <v>153.327</v>
          </cell>
          <cell r="S135">
            <v>1.6030000000000086</v>
          </cell>
          <cell r="U135">
            <v>14.069999999999993</v>
          </cell>
          <cell r="V135">
            <v>180.548</v>
          </cell>
          <cell r="W135">
            <v>1.6030000000000086</v>
          </cell>
          <cell r="X135">
            <v>2825.2349999999997</v>
          </cell>
        </row>
        <row r="136">
          <cell r="B136" t="str">
            <v>Bãi đỗ xe làng hoa ( Bồi thường + chi phí chuẩn bị đầu tư)</v>
          </cell>
          <cell r="C136" t="str">
            <v>KBSĐ</v>
          </cell>
          <cell r="D136">
            <v>7589654</v>
          </cell>
          <cell r="E136">
            <v>4557.782</v>
          </cell>
          <cell r="F136">
            <v>4220.006</v>
          </cell>
          <cell r="U136">
            <v>0</v>
          </cell>
          <cell r="V136">
            <v>0</v>
          </cell>
          <cell r="W136">
            <v>0</v>
          </cell>
          <cell r="X136">
            <v>4220.006</v>
          </cell>
        </row>
        <row r="137">
          <cell r="B137" t="str">
            <v> - Cấp nước và dịch vụ công cộng</v>
          </cell>
        </row>
        <row r="138">
          <cell r="B138" t="str">
            <v> - Xử lý nước thải</v>
          </cell>
        </row>
        <row r="139">
          <cell r="B139" t="str">
            <v> - An ninh quốc phòng</v>
          </cell>
        </row>
        <row r="140">
          <cell r="B140" t="str">
            <v> - Quản lý nhà nước</v>
          </cell>
          <cell r="E140">
            <v>13987.713</v>
          </cell>
          <cell r="F140">
            <v>2999.115</v>
          </cell>
          <cell r="G140">
            <v>2369.076</v>
          </cell>
          <cell r="H140">
            <v>0</v>
          </cell>
          <cell r="I140">
            <v>1483.885</v>
          </cell>
          <cell r="J140">
            <v>0</v>
          </cell>
          <cell r="K140">
            <v>0</v>
          </cell>
          <cell r="L140">
            <v>0</v>
          </cell>
          <cell r="M140">
            <v>0</v>
          </cell>
          <cell r="N140">
            <v>0</v>
          </cell>
          <cell r="O140">
            <v>0</v>
          </cell>
          <cell r="P140">
            <v>0</v>
          </cell>
          <cell r="Q140">
            <v>0</v>
          </cell>
          <cell r="R140">
            <v>0</v>
          </cell>
          <cell r="S140">
            <v>0</v>
          </cell>
          <cell r="T140">
            <v>0</v>
          </cell>
          <cell r="U140">
            <v>0</v>
          </cell>
          <cell r="V140">
            <v>1483.885</v>
          </cell>
          <cell r="W140">
            <v>885.191</v>
          </cell>
          <cell r="X140">
            <v>2999.115</v>
          </cell>
        </row>
        <row r="141">
          <cell r="B141" t="str">
            <v>Hội trường thành phố Sa Đéc</v>
          </cell>
          <cell r="C141" t="str">
            <v>KBSĐ, KBĐT</v>
          </cell>
          <cell r="D141">
            <v>7618070</v>
          </cell>
          <cell r="E141">
            <v>13987.713</v>
          </cell>
          <cell r="F141">
            <v>2999.115</v>
          </cell>
          <cell r="G141">
            <v>2369.076</v>
          </cell>
          <cell r="I141">
            <v>1483.885</v>
          </cell>
          <cell r="U141">
            <v>0</v>
          </cell>
          <cell r="V141">
            <v>1483.885</v>
          </cell>
          <cell r="W141">
            <v>885.191</v>
          </cell>
          <cell r="X141">
            <v>2999.115</v>
          </cell>
        </row>
        <row r="142">
          <cell r="B142" t="str">
            <v> - Nông lâm thủy lợi</v>
          </cell>
        </row>
        <row r="143">
          <cell r="B143" t="str">
            <v>Vốn chưa phân bổ</v>
          </cell>
          <cell r="P143">
            <v>3855</v>
          </cell>
          <cell r="T143">
            <v>3855</v>
          </cell>
        </row>
        <row r="144">
          <cell r="A144" t="str">
            <v>V</v>
          </cell>
          <cell r="B144" t="str">
            <v>Vốn NSNN khác:</v>
          </cell>
          <cell r="E144">
            <v>103570.524</v>
          </cell>
          <cell r="F144">
            <v>79524.107</v>
          </cell>
          <cell r="G144">
            <v>1265.6170000000002</v>
          </cell>
          <cell r="H144">
            <v>343.159</v>
          </cell>
          <cell r="I144">
            <v>922.4580000000001</v>
          </cell>
          <cell r="J144">
            <v>0</v>
          </cell>
          <cell r="K144">
            <v>0</v>
          </cell>
          <cell r="L144">
            <v>0</v>
          </cell>
          <cell r="M144">
            <v>0</v>
          </cell>
          <cell r="N144">
            <v>0</v>
          </cell>
          <cell r="O144">
            <v>0</v>
          </cell>
          <cell r="P144">
            <v>2262</v>
          </cell>
          <cell r="Q144">
            <v>1393.71</v>
          </cell>
          <cell r="R144">
            <v>1336.384</v>
          </cell>
          <cell r="S144">
            <v>57.32600000000002</v>
          </cell>
          <cell r="T144">
            <v>0</v>
          </cell>
          <cell r="U144">
            <v>868.29</v>
          </cell>
          <cell r="V144">
            <v>2258.842</v>
          </cell>
          <cell r="W144">
            <v>57.32600000000002</v>
          </cell>
          <cell r="X144">
            <v>80574.658</v>
          </cell>
        </row>
        <row r="145">
          <cell r="B145" t="str">
            <v>Vốn Tỉnh hỗ trợ xã nông thôn mới </v>
          </cell>
          <cell r="E145">
            <v>7445.411</v>
          </cell>
          <cell r="F145">
            <v>2403.789</v>
          </cell>
          <cell r="G145">
            <v>632.469</v>
          </cell>
          <cell r="H145">
            <v>342.188</v>
          </cell>
          <cell r="I145">
            <v>290.28100000000006</v>
          </cell>
          <cell r="J145">
            <v>0</v>
          </cell>
          <cell r="K145">
            <v>0</v>
          </cell>
          <cell r="L145">
            <v>0</v>
          </cell>
          <cell r="M145">
            <v>0</v>
          </cell>
          <cell r="N145">
            <v>0</v>
          </cell>
          <cell r="O145">
            <v>0</v>
          </cell>
          <cell r="P145">
            <v>0</v>
          </cell>
          <cell r="Q145">
            <v>0</v>
          </cell>
          <cell r="R145">
            <v>0</v>
          </cell>
          <cell r="S145">
            <v>0</v>
          </cell>
          <cell r="T145">
            <v>0</v>
          </cell>
          <cell r="U145">
            <v>0</v>
          </cell>
          <cell r="V145">
            <v>290.28100000000006</v>
          </cell>
          <cell r="W145">
            <v>0</v>
          </cell>
          <cell r="X145">
            <v>2061.601</v>
          </cell>
        </row>
        <row r="146">
          <cell r="B146" t="str">
            <v> - Giao thông</v>
          </cell>
          <cell r="E146">
            <v>7445.411</v>
          </cell>
          <cell r="F146">
            <v>2403.789</v>
          </cell>
          <cell r="G146">
            <v>632.469</v>
          </cell>
          <cell r="H146">
            <v>342.188</v>
          </cell>
          <cell r="I146">
            <v>290.28100000000006</v>
          </cell>
          <cell r="J146">
            <v>0</v>
          </cell>
          <cell r="K146">
            <v>0</v>
          </cell>
          <cell r="L146">
            <v>0</v>
          </cell>
          <cell r="M146">
            <v>0</v>
          </cell>
          <cell r="N146">
            <v>0</v>
          </cell>
          <cell r="O146">
            <v>0</v>
          </cell>
          <cell r="P146">
            <v>0</v>
          </cell>
          <cell r="Q146">
            <v>0</v>
          </cell>
          <cell r="R146">
            <v>0</v>
          </cell>
          <cell r="S146">
            <v>0</v>
          </cell>
          <cell r="T146">
            <v>0</v>
          </cell>
          <cell r="U146">
            <v>0</v>
          </cell>
          <cell r="V146">
            <v>290.28100000000006</v>
          </cell>
          <cell r="W146">
            <v>0</v>
          </cell>
          <cell r="X146">
            <v>2061.601</v>
          </cell>
        </row>
        <row r="147">
          <cell r="B147" t="str">
            <v>Đường Xếp Mương Đào</v>
          </cell>
          <cell r="C147" t="str">
            <v>KBSĐ</v>
          </cell>
          <cell r="D147">
            <v>7545080</v>
          </cell>
          <cell r="E147">
            <v>7445.411</v>
          </cell>
          <cell r="F147">
            <v>2403.789</v>
          </cell>
          <cell r="G147">
            <v>632.469</v>
          </cell>
          <cell r="H147">
            <v>342.188</v>
          </cell>
          <cell r="I147">
            <v>290.28100000000006</v>
          </cell>
          <cell r="K147">
            <v>0</v>
          </cell>
          <cell r="O147">
            <v>0</v>
          </cell>
          <cell r="Q147">
            <v>0</v>
          </cell>
          <cell r="U147">
            <v>0</v>
          </cell>
          <cell r="V147">
            <v>290.28100000000006</v>
          </cell>
          <cell r="W147">
            <v>0</v>
          </cell>
          <cell r="X147">
            <v>2061.601</v>
          </cell>
        </row>
        <row r="149">
          <cell r="B149" t="str">
            <v>Vốn vay kiên cố hóa giao thông nông thôn</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row>
        <row r="150">
          <cell r="B150" t="str">
            <v> - Giao thông</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row>
        <row r="152">
          <cell r="B152" t="str">
            <v>Vốn tập trung của tỉnh hỗ trợ cho thành phố Sa Đéc</v>
          </cell>
          <cell r="E152">
            <v>35030.238</v>
          </cell>
          <cell r="F152">
            <v>23445.964</v>
          </cell>
          <cell r="G152">
            <v>632.177</v>
          </cell>
          <cell r="H152">
            <v>0</v>
          </cell>
          <cell r="I152">
            <v>632.177</v>
          </cell>
          <cell r="J152">
            <v>0</v>
          </cell>
          <cell r="K152">
            <v>0</v>
          </cell>
          <cell r="L152">
            <v>0</v>
          </cell>
          <cell r="M152">
            <v>0</v>
          </cell>
          <cell r="N152">
            <v>0</v>
          </cell>
          <cell r="O152">
            <v>0</v>
          </cell>
          <cell r="P152">
            <v>2262</v>
          </cell>
          <cell r="Q152">
            <v>1393.71</v>
          </cell>
          <cell r="R152">
            <v>1336.384</v>
          </cell>
          <cell r="S152">
            <v>57.32600000000002</v>
          </cell>
          <cell r="T152">
            <v>0</v>
          </cell>
          <cell r="U152">
            <v>868.29</v>
          </cell>
          <cell r="V152">
            <v>1968.5610000000001</v>
          </cell>
          <cell r="W152">
            <v>57.32600000000002</v>
          </cell>
          <cell r="X152">
            <v>24839.674</v>
          </cell>
        </row>
        <row r="153">
          <cell r="B153" t="str">
            <v> - Thương mại du lịch</v>
          </cell>
          <cell r="E153">
            <v>30021.238</v>
          </cell>
          <cell r="F153">
            <v>20049.81</v>
          </cell>
          <cell r="G153">
            <v>592.177</v>
          </cell>
          <cell r="H153">
            <v>0</v>
          </cell>
          <cell r="I153">
            <v>592.177</v>
          </cell>
          <cell r="J153">
            <v>0</v>
          </cell>
          <cell r="K153">
            <v>0</v>
          </cell>
          <cell r="L153">
            <v>0</v>
          </cell>
          <cell r="M153">
            <v>0</v>
          </cell>
          <cell r="N153">
            <v>0</v>
          </cell>
          <cell r="O153">
            <v>0</v>
          </cell>
          <cell r="P153">
            <v>2262</v>
          </cell>
          <cell r="Q153">
            <v>1393.71</v>
          </cell>
          <cell r="R153">
            <v>1336.384</v>
          </cell>
          <cell r="S153">
            <v>57.32600000000002</v>
          </cell>
          <cell r="T153">
            <v>0</v>
          </cell>
          <cell r="U153">
            <v>868.29</v>
          </cell>
          <cell r="V153">
            <v>1928.5610000000001</v>
          </cell>
          <cell r="W153">
            <v>57.32600000000002</v>
          </cell>
          <cell r="X153">
            <v>21443.52</v>
          </cell>
        </row>
        <row r="154">
          <cell r="B154" t="str">
            <v>Hạ tầng phát triển du lịch thành phố Sa Đéc (hạng mục: đường Lê Lợi và đường Ông Thung Cai Dao)- đối ứng vốn tỉnh hỗ trợ</v>
          </cell>
          <cell r="C154" t="str">
            <v>KBSĐ</v>
          </cell>
          <cell r="D154">
            <v>7563027</v>
          </cell>
          <cell r="E154">
            <v>30021.238</v>
          </cell>
          <cell r="F154">
            <v>20049.81</v>
          </cell>
          <cell r="G154">
            <v>592.177</v>
          </cell>
          <cell r="I154">
            <v>592.177</v>
          </cell>
          <cell r="K154">
            <v>0</v>
          </cell>
          <cell r="O154">
            <v>0</v>
          </cell>
          <cell r="P154">
            <v>2262</v>
          </cell>
          <cell r="Q154">
            <v>1393.71</v>
          </cell>
          <cell r="R154">
            <v>1336.384</v>
          </cell>
          <cell r="S154">
            <v>57.32600000000002</v>
          </cell>
          <cell r="U154">
            <v>868.29</v>
          </cell>
          <cell r="V154">
            <v>1928.5610000000001</v>
          </cell>
          <cell r="W154">
            <v>57.32600000000002</v>
          </cell>
          <cell r="X154">
            <v>21443.52</v>
          </cell>
        </row>
        <row r="155">
          <cell r="B155" t="str">
            <v> - Quản lý nhà nước</v>
          </cell>
          <cell r="E155">
            <v>5009</v>
          </cell>
          <cell r="F155">
            <v>3396.154</v>
          </cell>
          <cell r="G155">
            <v>40</v>
          </cell>
          <cell r="H155">
            <v>0</v>
          </cell>
          <cell r="I155">
            <v>40</v>
          </cell>
          <cell r="J155">
            <v>0</v>
          </cell>
          <cell r="K155">
            <v>0</v>
          </cell>
          <cell r="L155">
            <v>0</v>
          </cell>
          <cell r="M155">
            <v>0</v>
          </cell>
          <cell r="N155">
            <v>0</v>
          </cell>
          <cell r="O155">
            <v>0</v>
          </cell>
          <cell r="P155">
            <v>0</v>
          </cell>
          <cell r="Q155">
            <v>0</v>
          </cell>
          <cell r="R155">
            <v>0</v>
          </cell>
          <cell r="S155">
            <v>0</v>
          </cell>
          <cell r="T155">
            <v>0</v>
          </cell>
          <cell r="U155">
            <v>0</v>
          </cell>
          <cell r="V155">
            <v>40</v>
          </cell>
          <cell r="W155">
            <v>0</v>
          </cell>
          <cell r="X155">
            <v>3396.154</v>
          </cell>
        </row>
        <row r="156">
          <cell r="B156" t="str">
            <v>Trụ sở UBND phường 4 </v>
          </cell>
          <cell r="C156" t="str">
            <v>KBSĐ</v>
          </cell>
          <cell r="D156">
            <v>7580550</v>
          </cell>
          <cell r="E156">
            <v>5009</v>
          </cell>
          <cell r="F156">
            <v>3396.154</v>
          </cell>
          <cell r="G156">
            <v>40</v>
          </cell>
          <cell r="I156">
            <v>40</v>
          </cell>
          <cell r="O156">
            <v>0</v>
          </cell>
          <cell r="Q156">
            <v>0</v>
          </cell>
          <cell r="U156">
            <v>0</v>
          </cell>
          <cell r="V156">
            <v>40</v>
          </cell>
          <cell r="W156">
            <v>0</v>
          </cell>
          <cell r="X156">
            <v>3396.154</v>
          </cell>
        </row>
        <row r="158">
          <cell r="B158" t="str">
            <v> - An ninh quốc phòng</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X158">
            <v>0</v>
          </cell>
        </row>
        <row r="160">
          <cell r="B160" t="str">
            <v>Vốn XSKT năm 2018 và năm 2017 chuyển sang của tỉnh hỗ trợ cho thành phố Sa Đéc</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X160">
            <v>0</v>
          </cell>
        </row>
        <row r="161">
          <cell r="B161" t="str">
            <v> - Giáo dục Đào tạo</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row>
        <row r="165">
          <cell r="A165" t="str">
            <v>A.2</v>
          </cell>
          <cell r="B165" t="str">
            <v>Các dự án không ghi kế hoạch năm 2017 còn dư vốn tạm ứng chưa thu hồi từ các năm trước chuyển sang năm 2018:</v>
          </cell>
          <cell r="E165">
            <v>61094.875</v>
          </cell>
          <cell r="F165">
            <v>53674.354</v>
          </cell>
          <cell r="G165">
            <v>0.971</v>
          </cell>
          <cell r="H165">
            <v>0.971</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53673.383</v>
          </cell>
        </row>
        <row r="166">
          <cell r="A166" t="str">
            <v>I</v>
          </cell>
          <cell r="B166" t="str">
            <v>Vốn Ngân sách tập trung đầu tư theo ngành, lĩnh vực:</v>
          </cell>
          <cell r="E166">
            <v>61094.875</v>
          </cell>
          <cell r="F166">
            <v>53674.354</v>
          </cell>
          <cell r="G166">
            <v>0.971</v>
          </cell>
          <cell r="H166">
            <v>0.971</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53673.383</v>
          </cell>
        </row>
        <row r="167">
          <cell r="B167" t="str">
            <v>Vốn trong nước</v>
          </cell>
        </row>
        <row r="168">
          <cell r="B168" t="str">
            <v>Vốn nước ngoài</v>
          </cell>
        </row>
        <row r="169">
          <cell r="A169">
            <v>1</v>
          </cell>
          <cell r="B169" t="str">
            <v>Vốn Chuẩn bị đầu tư</v>
          </cell>
          <cell r="M169">
            <v>0</v>
          </cell>
          <cell r="N169">
            <v>0</v>
          </cell>
          <cell r="O169">
            <v>0</v>
          </cell>
          <cell r="P169">
            <v>0</v>
          </cell>
          <cell r="Q169">
            <v>0</v>
          </cell>
          <cell r="R169">
            <v>0</v>
          </cell>
          <cell r="S169">
            <v>0</v>
          </cell>
          <cell r="T169">
            <v>0</v>
          </cell>
          <cell r="U169">
            <v>0</v>
          </cell>
          <cell r="V169">
            <v>0</v>
          </cell>
          <cell r="W169">
            <v>0</v>
          </cell>
          <cell r="X169">
            <v>0</v>
          </cell>
        </row>
        <row r="170">
          <cell r="B170" t="str">
            <v> - Giáo dục Đào tạo</v>
          </cell>
        </row>
        <row r="171">
          <cell r="B171" t="str">
            <v> - Thể thao</v>
          </cell>
        </row>
        <row r="172">
          <cell r="B172" t="str">
            <v> - Văn hóa xã hội</v>
          </cell>
        </row>
        <row r="173">
          <cell r="B173" t="str">
            <v> - Thương mại du lịch</v>
          </cell>
        </row>
        <row r="174">
          <cell r="B174" t="str">
            <v> - Giao thông</v>
          </cell>
        </row>
        <row r="175">
          <cell r="B175" t="str">
            <v> - Cấp nước và dịch vụ công cộng</v>
          </cell>
        </row>
        <row r="176">
          <cell r="B176" t="str">
            <v> - Xử lý nước thải</v>
          </cell>
        </row>
        <row r="177">
          <cell r="B177" t="str">
            <v> - An ninh quốc phòng</v>
          </cell>
        </row>
        <row r="178">
          <cell r="B178" t="str">
            <v> - Quản lý nhà nước</v>
          </cell>
        </row>
        <row r="179">
          <cell r="B179" t="str">
            <v> - Nông lâm thủy lợi</v>
          </cell>
        </row>
        <row r="180">
          <cell r="A180">
            <v>2</v>
          </cell>
          <cell r="B180" t="str">
            <v>Vốn Thực hiện dự án</v>
          </cell>
          <cell r="E180">
            <v>61094.875</v>
          </cell>
          <cell r="F180">
            <v>53674.354</v>
          </cell>
          <cell r="G180">
            <v>0.971</v>
          </cell>
          <cell r="H180">
            <v>0.971</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53673.383</v>
          </cell>
        </row>
        <row r="181">
          <cell r="B181" t="str">
            <v> - Giáo dục Đào tạo</v>
          </cell>
        </row>
        <row r="182">
          <cell r="B182" t="str">
            <v> - Thể thao</v>
          </cell>
        </row>
        <row r="183">
          <cell r="B183" t="str">
            <v> - Văn hóa xã hội</v>
          </cell>
          <cell r="E183">
            <v>13382.875</v>
          </cell>
          <cell r="F183">
            <v>11173.353</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11173.353</v>
          </cell>
        </row>
        <row r="184">
          <cell r="B184" t="str">
            <v>Khu dân cư nhà ở xã hội Tân Phú Đông (Phú Hòa)</v>
          </cell>
          <cell r="C184" t="str">
            <v>KBSĐ</v>
          </cell>
          <cell r="D184">
            <v>7434352</v>
          </cell>
          <cell r="E184">
            <v>13382.875</v>
          </cell>
          <cell r="F184">
            <v>11173.353</v>
          </cell>
          <cell r="U184">
            <v>0</v>
          </cell>
          <cell r="V184">
            <v>0</v>
          </cell>
          <cell r="W184">
            <v>0</v>
          </cell>
          <cell r="X184">
            <v>11173.353</v>
          </cell>
        </row>
        <row r="187">
          <cell r="B187" t="str">
            <v> - Thương mại du lịch</v>
          </cell>
        </row>
        <row r="188">
          <cell r="B188" t="str">
            <v> - Giao thông</v>
          </cell>
          <cell r="E188">
            <v>2952</v>
          </cell>
          <cell r="F188">
            <v>99.785</v>
          </cell>
          <cell r="G188">
            <v>0.971</v>
          </cell>
          <cell r="H188">
            <v>0.971</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98.814</v>
          </cell>
        </row>
        <row r="189">
          <cell r="B189" t="str">
            <v>Đường nối từ trường Nguyễn Đình Chiểu đến KDC Phú Long</v>
          </cell>
          <cell r="C189" t="str">
            <v>KBSĐ</v>
          </cell>
          <cell r="D189">
            <v>7498683</v>
          </cell>
          <cell r="E189">
            <v>2952</v>
          </cell>
          <cell r="F189">
            <v>99.785</v>
          </cell>
          <cell r="G189">
            <v>0.971</v>
          </cell>
          <cell r="H189">
            <v>0.971</v>
          </cell>
          <cell r="O189">
            <v>0</v>
          </cell>
          <cell r="U189">
            <v>0</v>
          </cell>
          <cell r="V189">
            <v>0</v>
          </cell>
          <cell r="W189">
            <v>0</v>
          </cell>
          <cell r="X189">
            <v>98.814</v>
          </cell>
        </row>
        <row r="192">
          <cell r="B192" t="str">
            <v> - Cấp nước và dịch vụ công cộng</v>
          </cell>
          <cell r="E192">
            <v>44760</v>
          </cell>
          <cell r="F192">
            <v>42401.216</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42401.216</v>
          </cell>
        </row>
        <row r="193">
          <cell r="B193" t="str">
            <v>Khu dân cư khóm 3 phường 2 B</v>
          </cell>
          <cell r="C193" t="str">
            <v>KBSĐ</v>
          </cell>
          <cell r="D193">
            <v>7003702</v>
          </cell>
          <cell r="E193">
            <v>44760</v>
          </cell>
          <cell r="F193">
            <v>42401.216</v>
          </cell>
          <cell r="U193">
            <v>0</v>
          </cell>
          <cell r="V193">
            <v>0</v>
          </cell>
          <cell r="W193">
            <v>0</v>
          </cell>
          <cell r="X193">
            <v>42401.216</v>
          </cell>
        </row>
        <row r="196">
          <cell r="B196" t="str">
            <v> - Xử lý nước thải</v>
          </cell>
        </row>
        <row r="197">
          <cell r="B197" t="str">
            <v> - An ninh quốc phòng</v>
          </cell>
        </row>
        <row r="198">
          <cell r="B198" t="str">
            <v> - Quản lý nhà nước</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row>
        <row r="200">
          <cell r="B200" t="str">
            <v> - Nông lâm thủy lợi</v>
          </cell>
        </row>
        <row r="201">
          <cell r="B201" t="str">
            <v>Vốn trong nước</v>
          </cell>
        </row>
        <row r="202">
          <cell r="B202" t="str">
            <v>Vốn nước ngoài</v>
          </cell>
        </row>
        <row r="203">
          <cell r="A203" t="str">
            <v>II</v>
          </cell>
          <cell r="B203" t="str">
            <v>Vốn CTMT QG:</v>
          </cell>
        </row>
        <row r="204">
          <cell r="A204">
            <v>1</v>
          </cell>
          <cell r="B204" t="str">
            <v>Chương trình MTQG….</v>
          </cell>
        </row>
        <row r="205">
          <cell r="B205" t="str">
            <v>Dự án….</v>
          </cell>
        </row>
        <row r="206">
          <cell r="A206" t="str">
            <v>III</v>
          </cell>
          <cell r="B206" t="str">
            <v>Vốn CTMT:</v>
          </cell>
        </row>
        <row r="207">
          <cell r="A207">
            <v>1</v>
          </cell>
          <cell r="B207" t="str">
            <v>Chương trình…</v>
          </cell>
        </row>
        <row r="208">
          <cell r="B208" t="str">
            <v>Dự án….</v>
          </cell>
        </row>
        <row r="209">
          <cell r="A209" t="str">
            <v>IV</v>
          </cell>
          <cell r="B209" t="str">
            <v>Vốn từ nguồn thu tiền sử dụng đất:</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row>
        <row r="210">
          <cell r="B210" t="str">
            <v>Vốn Chuẩn bị đầu tư</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row>
        <row r="211">
          <cell r="B211" t="str">
            <v> - Giáo dục Đào tạo</v>
          </cell>
        </row>
        <row r="212">
          <cell r="B212" t="str">
            <v> - Thể thao</v>
          </cell>
        </row>
        <row r="213">
          <cell r="B213" t="str">
            <v> - Văn hóa xã hội</v>
          </cell>
        </row>
        <row r="214">
          <cell r="B214" t="str">
            <v> - Thương mại du lịch</v>
          </cell>
        </row>
        <row r="215">
          <cell r="B215" t="str">
            <v> - Giao thông</v>
          </cell>
        </row>
        <row r="216">
          <cell r="B216" t="str">
            <v> - Cấp nước và dịch vụ công cộng</v>
          </cell>
        </row>
        <row r="217">
          <cell r="B217" t="str">
            <v> - Xử lý nước thải</v>
          </cell>
        </row>
        <row r="218">
          <cell r="B218" t="str">
            <v> - An ninh quốc phòng</v>
          </cell>
        </row>
        <row r="219">
          <cell r="B219" t="str">
            <v> - Quản lý nhà nước</v>
          </cell>
        </row>
        <row r="220">
          <cell r="B220" t="str">
            <v> - Nông lâm thủy lợi</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row>
        <row r="224">
          <cell r="B224" t="str">
            <v>Vốn Thực hiện dự án</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row>
        <row r="225">
          <cell r="B225" t="str">
            <v> - Giáo dục Đào tạo</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row>
        <row r="227">
          <cell r="B227" t="str">
            <v> - Thể thao</v>
          </cell>
        </row>
        <row r="228">
          <cell r="B228" t="str">
            <v> - Văn hóa xã hội</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row>
        <row r="231">
          <cell r="B231" t="str">
            <v> - Thương mại du lịch</v>
          </cell>
        </row>
        <row r="232">
          <cell r="B232" t="str">
            <v> - Giao thông</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row>
        <row r="234">
          <cell r="B234" t="str">
            <v> - Cấp nước và dịch vụ công cộng</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row>
        <row r="236">
          <cell r="B236" t="str">
            <v> - Xử lý nước thải</v>
          </cell>
        </row>
        <row r="237">
          <cell r="B237" t="str">
            <v> - An ninh quốc phòng</v>
          </cell>
        </row>
        <row r="238">
          <cell r="B238" t="str">
            <v> - Quản lý nhà nước</v>
          </cell>
        </row>
        <row r="239">
          <cell r="B239" t="str">
            <v> - Nông lâm thủy lợi</v>
          </cell>
        </row>
        <row r="240">
          <cell r="A240" t="str">
            <v>V</v>
          </cell>
          <cell r="B240" t="str">
            <v>Vốn NSNN khác:</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row>
        <row r="241">
          <cell r="B241" t="str">
            <v>Vốn Tỉnh hỗ trợ</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row>
        <row r="242">
          <cell r="A242" t="str">
            <v>B</v>
          </cell>
          <cell r="B242" t="str">
            <v>VỐN TRÁI PHIẾU CHÍNH PHỦ:</v>
          </cell>
        </row>
        <row r="243">
          <cell r="A243" t="str">
            <v>B.1</v>
          </cell>
          <cell r="B243" t="str">
            <v>Các dự án thuộc kế hoạch năm 20…:</v>
          </cell>
        </row>
        <row r="244">
          <cell r="A244">
            <v>1</v>
          </cell>
          <cell r="B244" t="str">
            <v>Ngành giao thông</v>
          </cell>
        </row>
        <row r="245">
          <cell r="B245" t="str">
            <v>Dự án…</v>
          </cell>
        </row>
        <row r="246">
          <cell r="A246">
            <v>2</v>
          </cell>
          <cell r="B246" t="str">
            <v>Ngành thủy lợi</v>
          </cell>
        </row>
        <row r="247">
          <cell r="B247" t="str">
            <v>Dự án…</v>
          </cell>
        </row>
        <row r="248">
          <cell r="A248">
            <v>3</v>
          </cell>
          <cell r="B248" t="str">
            <v>Ngành….</v>
          </cell>
        </row>
        <row r="249">
          <cell r="B249" t="str">
            <v>Dự án….</v>
          </cell>
        </row>
        <row r="250">
          <cell r="A250" t="str">
            <v>B.2</v>
          </cell>
          <cell r="B250" t="str">
            <v>Các dự án không ghi kế hoạch năm 20… còn dư vốn tạm ứng chưa thu hồi từ những năm trước chuyển sang năm 20…:</v>
          </cell>
        </row>
        <row r="251">
          <cell r="B251" t="str">
            <v>Ngành….</v>
          </cell>
        </row>
        <row r="252">
          <cell r="B252" t="str">
            <v>Dự án…</v>
          </cell>
        </row>
        <row r="253">
          <cell r="A253" t="str">
            <v>C</v>
          </cell>
          <cell r="B253" t="str">
            <v>VỐN TRÁI PHIẾU CHÍNH QUYỀN ĐỊA PHƯƠNG:</v>
          </cell>
        </row>
        <row r="254">
          <cell r="A254">
            <v>1</v>
          </cell>
          <cell r="B254" t="str">
            <v>Dự án…</v>
          </cell>
        </row>
        <row r="255">
          <cell r="A255">
            <v>2</v>
          </cell>
          <cell r="B255" t="str">
            <v>Dự án…</v>
          </cell>
        </row>
        <row r="256">
          <cell r="A256" t="str">
            <v>D</v>
          </cell>
          <cell r="B256" t="str">
            <v>NGUỒN VỐN ĐẦU TƯ THUỘC NSNN KHÁC (nếu có):</v>
          </cell>
        </row>
        <row r="257">
          <cell r="A257">
            <v>1</v>
          </cell>
          <cell r="B257" t="str">
            <v>Nguồn vốn…</v>
          </cell>
        </row>
        <row r="258">
          <cell r="B258" t="str">
            <v>Dự án…</v>
          </cell>
        </row>
        <row r="259">
          <cell r="A259" t="str">
            <v>II</v>
          </cell>
          <cell r="B259" t="str">
            <v>Nguồn vốn…</v>
          </cell>
        </row>
        <row r="260">
          <cell r="B260" t="str">
            <v>Dự án…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H48"/>
  <sheetViews>
    <sheetView zoomScale="115" zoomScaleNormal="115" workbookViewId="0" topLeftCell="A10">
      <selection activeCell="D14" sqref="D14"/>
    </sheetView>
  </sheetViews>
  <sheetFormatPr defaultColWidth="8.796875" defaultRowHeight="15"/>
  <cols>
    <col min="1" max="1" width="5.69921875" style="0" customWidth="1"/>
    <col min="2" max="2" width="30.69921875" style="0" customWidth="1"/>
    <col min="3" max="3" width="16.5" style="0" customWidth="1"/>
    <col min="4" max="4" width="15.59765625" style="0" customWidth="1"/>
    <col min="5" max="5" width="15.5" style="0" bestFit="1" customWidth="1"/>
    <col min="6" max="6" width="9.3984375" style="0" customWidth="1"/>
    <col min="8" max="8" width="18.8984375" style="0" bestFit="1" customWidth="1"/>
  </cols>
  <sheetData>
    <row r="1" spans="1:6" ht="16.5">
      <c r="A1" s="811" t="s">
        <v>794</v>
      </c>
      <c r="B1" s="811"/>
      <c r="C1" s="811" t="s">
        <v>795</v>
      </c>
      <c r="D1" s="811"/>
      <c r="E1" s="811"/>
      <c r="F1" s="811"/>
    </row>
    <row r="2" spans="1:6" ht="16.5">
      <c r="A2" s="812" t="s">
        <v>797</v>
      </c>
      <c r="B2" s="812"/>
      <c r="C2" s="812" t="s">
        <v>796</v>
      </c>
      <c r="D2" s="812"/>
      <c r="E2" s="812"/>
      <c r="F2" s="812"/>
    </row>
    <row r="3" spans="1:6" ht="10.5" customHeight="1">
      <c r="A3" s="805" t="s">
        <v>798</v>
      </c>
      <c r="B3" s="699"/>
      <c r="C3" s="805" t="s">
        <v>799</v>
      </c>
      <c r="D3" s="699"/>
      <c r="E3" s="699"/>
      <c r="F3" s="699"/>
    </row>
    <row r="4" spans="1:6" ht="12.75" customHeight="1">
      <c r="A4" s="806"/>
      <c r="B4" s="473"/>
      <c r="C4" s="806"/>
      <c r="D4" s="473"/>
      <c r="E4" s="473"/>
      <c r="F4" s="473"/>
    </row>
    <row r="5" spans="1:6" ht="18.75">
      <c r="A5" s="727" t="s">
        <v>801</v>
      </c>
      <c r="B5" s="727"/>
      <c r="C5" s="727"/>
      <c r="D5" s="727"/>
      <c r="E5" s="727"/>
      <c r="F5" s="727"/>
    </row>
    <row r="6" spans="1:6" s="385" customFormat="1" ht="18.75">
      <c r="A6" s="813" t="s">
        <v>523</v>
      </c>
      <c r="B6" s="813"/>
      <c r="C6" s="813"/>
      <c r="D6" s="813"/>
      <c r="E6" s="813"/>
      <c r="F6" s="813"/>
    </row>
    <row r="7" spans="1:6" s="385" customFormat="1" ht="18.75">
      <c r="A7" s="814" t="s">
        <v>800</v>
      </c>
      <c r="B7" s="814"/>
      <c r="C7" s="814"/>
      <c r="D7" s="814"/>
      <c r="E7" s="814"/>
      <c r="F7" s="814"/>
    </row>
    <row r="8" spans="1:6" s="385" customFormat="1" ht="15.75">
      <c r="A8" s="808" t="s">
        <v>802</v>
      </c>
      <c r="B8" s="696"/>
      <c r="C8" s="696"/>
      <c r="D8" s="696"/>
      <c r="E8" s="696"/>
      <c r="F8" s="696"/>
    </row>
    <row r="9" spans="1:6" s="385" customFormat="1" ht="15.75">
      <c r="A9" s="815"/>
      <c r="B9" s="691"/>
      <c r="C9" s="691"/>
      <c r="D9" s="691"/>
      <c r="E9" s="691"/>
      <c r="F9" s="691"/>
    </row>
    <row r="10" spans="5:6" ht="15.75">
      <c r="E10" s="697" t="s">
        <v>626</v>
      </c>
      <c r="F10" s="697"/>
    </row>
    <row r="11" spans="1:6" s="386" customFormat="1" ht="20.25" customHeight="1">
      <c r="A11" s="695" t="s">
        <v>132</v>
      </c>
      <c r="B11" s="695" t="s">
        <v>492</v>
      </c>
      <c r="C11" s="695" t="s">
        <v>81</v>
      </c>
      <c r="D11" s="695" t="s">
        <v>3</v>
      </c>
      <c r="E11" s="695" t="s">
        <v>482</v>
      </c>
      <c r="F11" s="695"/>
    </row>
    <row r="12" spans="1:6" s="386" customFormat="1" ht="37.5" customHeight="1">
      <c r="A12" s="695"/>
      <c r="B12" s="695"/>
      <c r="C12" s="695"/>
      <c r="D12" s="695"/>
      <c r="E12" s="378" t="s">
        <v>483</v>
      </c>
      <c r="F12" s="378" t="s">
        <v>484</v>
      </c>
    </row>
    <row r="13" spans="1:6" s="385" customFormat="1" ht="18" customHeight="1">
      <c r="A13" s="378" t="s">
        <v>5</v>
      </c>
      <c r="B13" s="378" t="s">
        <v>6</v>
      </c>
      <c r="C13" s="378">
        <v>1</v>
      </c>
      <c r="D13" s="378">
        <v>2</v>
      </c>
      <c r="E13" s="378" t="s">
        <v>485</v>
      </c>
      <c r="F13" s="378" t="s">
        <v>486</v>
      </c>
    </row>
    <row r="14" spans="1:6" s="397" customFormat="1" ht="24.75" customHeight="1">
      <c r="A14" s="413" t="s">
        <v>5</v>
      </c>
      <c r="B14" s="379" t="s">
        <v>502</v>
      </c>
      <c r="C14" s="430">
        <f>C15+C18+C21+C22+C23+C24</f>
        <v>448669000000</v>
      </c>
      <c r="D14" s="430">
        <f>D15+D18+D21+D22+D23+D24</f>
        <v>815107651050</v>
      </c>
      <c r="E14" s="430">
        <f>D14-C14</f>
        <v>366438651050</v>
      </c>
      <c r="F14" s="424">
        <f>D14/C14*100</f>
        <v>181.6723800953487</v>
      </c>
    </row>
    <row r="15" spans="1:6" s="397" customFormat="1" ht="31.5">
      <c r="A15" s="413" t="s">
        <v>14</v>
      </c>
      <c r="B15" s="379" t="s">
        <v>503</v>
      </c>
      <c r="C15" s="430">
        <f>C16+C17</f>
        <v>275869000000</v>
      </c>
      <c r="D15" s="430">
        <f>D16+D17</f>
        <v>401867701906</v>
      </c>
      <c r="E15" s="430">
        <f>D15-C15</f>
        <v>125998701906</v>
      </c>
      <c r="F15" s="424">
        <f aca="true" t="shared" si="0" ref="F15:F32">D15/C15*100</f>
        <v>145.67338189720482</v>
      </c>
    </row>
    <row r="16" spans="1:8" s="385" customFormat="1" ht="23.25" customHeight="1">
      <c r="A16" s="389" t="s">
        <v>18</v>
      </c>
      <c r="B16" s="129" t="s">
        <v>504</v>
      </c>
      <c r="C16" s="428">
        <v>126099000000</v>
      </c>
      <c r="D16" s="415">
        <v>259509917378</v>
      </c>
      <c r="E16" s="426">
        <f>D16-C16</f>
        <v>133410917378</v>
      </c>
      <c r="F16" s="414">
        <f t="shared" si="0"/>
        <v>205.79855302421115</v>
      </c>
      <c r="H16" s="398"/>
    </row>
    <row r="17" spans="1:8" s="385" customFormat="1" ht="31.5">
      <c r="A17" s="389" t="s">
        <v>18</v>
      </c>
      <c r="B17" s="129" t="s">
        <v>505</v>
      </c>
      <c r="C17" s="428">
        <v>149770000000</v>
      </c>
      <c r="D17" s="415">
        <v>142357784528</v>
      </c>
      <c r="E17" s="426">
        <f aca="true" t="shared" si="1" ref="E17:E47">D17-C17</f>
        <v>-7412215472</v>
      </c>
      <c r="F17" s="414">
        <f t="shared" si="0"/>
        <v>95.05093445149228</v>
      </c>
      <c r="H17" s="400"/>
    </row>
    <row r="18" spans="1:6" s="397" customFormat="1" ht="21" customHeight="1">
      <c r="A18" s="413" t="s">
        <v>25</v>
      </c>
      <c r="B18" s="379" t="s">
        <v>506</v>
      </c>
      <c r="C18" s="430">
        <f>C19+C20</f>
        <v>172800000000</v>
      </c>
      <c r="D18" s="430">
        <f>D19+D20</f>
        <v>312679235500</v>
      </c>
      <c r="E18" s="430">
        <f>D18-C18</f>
        <v>139879235500</v>
      </c>
      <c r="F18" s="424">
        <f t="shared" si="0"/>
        <v>180.94863165509258</v>
      </c>
    </row>
    <row r="19" spans="1:6" s="385" customFormat="1" ht="25.5" customHeight="1">
      <c r="A19" s="380">
        <v>1</v>
      </c>
      <c r="B19" s="129" t="s">
        <v>507</v>
      </c>
      <c r="C19" s="415">
        <v>159099000000</v>
      </c>
      <c r="D19" s="415">
        <v>196580462000</v>
      </c>
      <c r="E19" s="426">
        <f t="shared" si="1"/>
        <v>37481462000</v>
      </c>
      <c r="F19" s="414">
        <f t="shared" si="0"/>
        <v>123.55857799231924</v>
      </c>
    </row>
    <row r="20" spans="1:6" s="385" customFormat="1" ht="25.5" customHeight="1">
      <c r="A20" s="380">
        <v>2</v>
      </c>
      <c r="B20" s="129" t="s">
        <v>508</v>
      </c>
      <c r="C20" s="415">
        <v>13701000000</v>
      </c>
      <c r="D20" s="415">
        <v>116098773500</v>
      </c>
      <c r="E20" s="426">
        <f t="shared" si="1"/>
        <v>102397773500</v>
      </c>
      <c r="F20" s="414">
        <f t="shared" si="0"/>
        <v>847.3744507700168</v>
      </c>
    </row>
    <row r="21" spans="1:6" s="397" customFormat="1" ht="22.5" customHeight="1">
      <c r="A21" s="413" t="s">
        <v>28</v>
      </c>
      <c r="B21" s="379" t="s">
        <v>509</v>
      </c>
      <c r="C21" s="413"/>
      <c r="D21" s="413"/>
      <c r="E21" s="430">
        <f t="shared" si="1"/>
        <v>0</v>
      </c>
      <c r="F21" s="424"/>
    </row>
    <row r="22" spans="1:6" s="397" customFormat="1" ht="21" customHeight="1">
      <c r="A22" s="413" t="s">
        <v>30</v>
      </c>
      <c r="B22" s="379" t="s">
        <v>510</v>
      </c>
      <c r="C22" s="413"/>
      <c r="D22" s="417">
        <v>21669358753</v>
      </c>
      <c r="E22" s="430">
        <f t="shared" si="1"/>
        <v>21669358753</v>
      </c>
      <c r="F22" s="424"/>
    </row>
    <row r="23" spans="1:6" s="397" customFormat="1" ht="31.5">
      <c r="A23" s="413" t="s">
        <v>32</v>
      </c>
      <c r="B23" s="379" t="s">
        <v>130</v>
      </c>
      <c r="C23" s="413"/>
      <c r="D23" s="417">
        <v>77060073591</v>
      </c>
      <c r="E23" s="430">
        <f t="shared" si="1"/>
        <v>77060073591</v>
      </c>
      <c r="F23" s="424"/>
    </row>
    <row r="24" spans="1:6" s="397" customFormat="1" ht="23.25" customHeight="1">
      <c r="A24" s="413" t="s">
        <v>34</v>
      </c>
      <c r="B24" s="379" t="s">
        <v>603</v>
      </c>
      <c r="C24" s="413"/>
      <c r="D24" s="417">
        <v>1831281300</v>
      </c>
      <c r="E24" s="430">
        <f t="shared" si="1"/>
        <v>1831281300</v>
      </c>
      <c r="F24" s="424"/>
    </row>
    <row r="25" spans="1:6" s="397" customFormat="1" ht="21" customHeight="1">
      <c r="A25" s="413" t="s">
        <v>6</v>
      </c>
      <c r="B25" s="379" t="s">
        <v>12</v>
      </c>
      <c r="C25" s="431">
        <f>C26+C35+C38+C39</f>
        <v>448669000000</v>
      </c>
      <c r="D25" s="431">
        <f>D26+D35+D38+D39</f>
        <v>600255026426</v>
      </c>
      <c r="E25" s="431">
        <f>E26+E35+E38+E39</f>
        <v>151586026426</v>
      </c>
      <c r="F25" s="424">
        <f t="shared" si="0"/>
        <v>133.78571428514115</v>
      </c>
    </row>
    <row r="26" spans="1:8" s="397" customFormat="1" ht="24.75" customHeight="1">
      <c r="A26" s="413" t="s">
        <v>14</v>
      </c>
      <c r="B26" s="379" t="s">
        <v>511</v>
      </c>
      <c r="C26" s="431">
        <f>SUM(C27:C34)</f>
        <v>448669000000</v>
      </c>
      <c r="D26" s="431">
        <f>SUM(D27:D34)</f>
        <v>558552640923</v>
      </c>
      <c r="E26" s="431">
        <f>SUM(E27:E34)</f>
        <v>109883640923</v>
      </c>
      <c r="F26" s="424">
        <f t="shared" si="0"/>
        <v>124.49102588389214</v>
      </c>
      <c r="H26" s="399"/>
    </row>
    <row r="27" spans="1:6" s="385" customFormat="1" ht="23.25" customHeight="1">
      <c r="A27" s="389">
        <v>1</v>
      </c>
      <c r="B27" s="129" t="s">
        <v>68</v>
      </c>
      <c r="C27" s="491">
        <v>130401000000</v>
      </c>
      <c r="D27" s="415">
        <v>127400995000</v>
      </c>
      <c r="E27" s="426">
        <f t="shared" si="1"/>
        <v>-3000005000</v>
      </c>
      <c r="F27" s="414">
        <f t="shared" si="0"/>
        <v>97.6994003113473</v>
      </c>
    </row>
    <row r="28" spans="1:6" s="385" customFormat="1" ht="22.5" customHeight="1">
      <c r="A28" s="380">
        <v>2</v>
      </c>
      <c r="B28" s="129" t="s">
        <v>26</v>
      </c>
      <c r="C28" s="425">
        <v>310533000000</v>
      </c>
      <c r="D28" s="415">
        <v>352478260109</v>
      </c>
      <c r="E28" s="426">
        <f t="shared" si="1"/>
        <v>41945260109</v>
      </c>
      <c r="F28" s="414">
        <f t="shared" si="0"/>
        <v>113.50750487355612</v>
      </c>
    </row>
    <row r="29" spans="1:6" s="385" customFormat="1" ht="42" customHeight="1">
      <c r="A29" s="380">
        <v>3</v>
      </c>
      <c r="B29" s="129" t="s">
        <v>29</v>
      </c>
      <c r="C29" s="389"/>
      <c r="D29" s="389"/>
      <c r="E29" s="430">
        <f t="shared" si="1"/>
        <v>0</v>
      </c>
      <c r="F29" s="424"/>
    </row>
    <row r="30" spans="1:6" s="385" customFormat="1" ht="27" customHeight="1">
      <c r="A30" s="380">
        <v>4</v>
      </c>
      <c r="B30" s="129" t="s">
        <v>496</v>
      </c>
      <c r="C30" s="389"/>
      <c r="D30" s="389"/>
      <c r="E30" s="430">
        <f t="shared" si="1"/>
        <v>0</v>
      </c>
      <c r="F30" s="424"/>
    </row>
    <row r="31" spans="1:6" s="385" customFormat="1" ht="22.5" customHeight="1">
      <c r="A31" s="380">
        <v>5</v>
      </c>
      <c r="B31" s="129" t="s">
        <v>33</v>
      </c>
      <c r="C31" s="425">
        <v>7560000000</v>
      </c>
      <c r="D31" s="389"/>
      <c r="E31" s="432">
        <f t="shared" si="1"/>
        <v>-7560000000</v>
      </c>
      <c r="F31" s="424">
        <f t="shared" si="0"/>
        <v>0</v>
      </c>
    </row>
    <row r="32" spans="1:6" s="385" customFormat="1" ht="19.5" customHeight="1">
      <c r="A32" s="380">
        <v>6</v>
      </c>
      <c r="B32" s="129" t="s">
        <v>35</v>
      </c>
      <c r="C32" s="415">
        <v>175000000</v>
      </c>
      <c r="D32" s="389"/>
      <c r="E32" s="432">
        <f t="shared" si="1"/>
        <v>-175000000</v>
      </c>
      <c r="F32" s="424">
        <f t="shared" si="0"/>
        <v>0</v>
      </c>
    </row>
    <row r="33" spans="1:6" s="429" customFormat="1" ht="21" customHeight="1">
      <c r="A33" s="389">
        <v>7</v>
      </c>
      <c r="B33" s="129" t="s">
        <v>606</v>
      </c>
      <c r="C33" s="389"/>
      <c r="D33" s="415">
        <v>68244707000</v>
      </c>
      <c r="E33" s="426">
        <f>D33-C33</f>
        <v>68244707000</v>
      </c>
      <c r="F33" s="414"/>
    </row>
    <row r="34" spans="1:6" s="429" customFormat="1" ht="21" customHeight="1">
      <c r="A34" s="389">
        <v>8</v>
      </c>
      <c r="B34" s="129" t="s">
        <v>604</v>
      </c>
      <c r="C34" s="389"/>
      <c r="D34" s="415">
        <v>10428678814</v>
      </c>
      <c r="E34" s="426">
        <v>10428678814</v>
      </c>
      <c r="F34" s="414"/>
    </row>
    <row r="35" spans="1:6" s="385" customFormat="1" ht="18.75" customHeight="1">
      <c r="A35" s="378" t="s">
        <v>25</v>
      </c>
      <c r="B35" s="379" t="s">
        <v>512</v>
      </c>
      <c r="C35" s="389"/>
      <c r="D35" s="389"/>
      <c r="E35" s="430">
        <f t="shared" si="1"/>
        <v>0</v>
      </c>
      <c r="F35" s="424"/>
    </row>
    <row r="36" spans="1:6" s="385" customFormat="1" ht="15.75">
      <c r="A36" s="380">
        <v>1</v>
      </c>
      <c r="B36" s="129" t="s">
        <v>37</v>
      </c>
      <c r="C36" s="389"/>
      <c r="D36" s="389"/>
      <c r="E36" s="430">
        <f t="shared" si="1"/>
        <v>0</v>
      </c>
      <c r="F36" s="424"/>
    </row>
    <row r="37" spans="1:6" s="385" customFormat="1" ht="31.5">
      <c r="A37" s="380">
        <v>2</v>
      </c>
      <c r="B37" s="129" t="s">
        <v>38</v>
      </c>
      <c r="C37" s="389"/>
      <c r="D37" s="389"/>
      <c r="E37" s="430">
        <f t="shared" si="1"/>
        <v>0</v>
      </c>
      <c r="F37" s="424"/>
    </row>
    <row r="38" spans="1:6" s="490" customFormat="1" ht="21" customHeight="1">
      <c r="A38" s="453" t="s">
        <v>28</v>
      </c>
      <c r="B38" s="487" t="s">
        <v>513</v>
      </c>
      <c r="C38" s="453"/>
      <c r="D38" s="454">
        <v>39871104203</v>
      </c>
      <c r="E38" s="488">
        <f t="shared" si="1"/>
        <v>39871104203</v>
      </c>
      <c r="F38" s="489"/>
    </row>
    <row r="39" spans="1:6" s="385" customFormat="1" ht="31.5">
      <c r="A39" s="413" t="s">
        <v>30</v>
      </c>
      <c r="B39" s="379" t="s">
        <v>605</v>
      </c>
      <c r="C39" s="389"/>
      <c r="D39" s="417">
        <v>1831281300</v>
      </c>
      <c r="E39" s="430">
        <f t="shared" si="1"/>
        <v>1831281300</v>
      </c>
      <c r="F39" s="424"/>
    </row>
    <row r="40" spans="1:6" s="397" customFormat="1" ht="40.5" customHeight="1">
      <c r="A40" s="413" t="s">
        <v>39</v>
      </c>
      <c r="B40" s="379" t="s">
        <v>514</v>
      </c>
      <c r="C40" s="413"/>
      <c r="D40" s="430">
        <f>D14-D25</f>
        <v>214852624624</v>
      </c>
      <c r="E40" s="430">
        <f t="shared" si="1"/>
        <v>214852624624</v>
      </c>
      <c r="F40" s="424"/>
    </row>
    <row r="41" spans="1:6" s="385" customFormat="1" ht="20.25" customHeight="1">
      <c r="A41" s="378" t="s">
        <v>196</v>
      </c>
      <c r="B41" s="379" t="s">
        <v>515</v>
      </c>
      <c r="C41" s="389"/>
      <c r="D41" s="389"/>
      <c r="E41" s="430">
        <f t="shared" si="1"/>
        <v>0</v>
      </c>
      <c r="F41" s="424"/>
    </row>
    <row r="42" spans="1:6" s="385" customFormat="1" ht="21.75" customHeight="1">
      <c r="A42" s="378" t="s">
        <v>14</v>
      </c>
      <c r="B42" s="379" t="s">
        <v>516</v>
      </c>
      <c r="C42" s="389"/>
      <c r="D42" s="389"/>
      <c r="E42" s="430">
        <f t="shared" si="1"/>
        <v>0</v>
      </c>
      <c r="F42" s="424"/>
    </row>
    <row r="43" spans="1:6" s="385" customFormat="1" ht="33.75" customHeight="1">
      <c r="A43" s="378" t="s">
        <v>25</v>
      </c>
      <c r="B43" s="379" t="s">
        <v>517</v>
      </c>
      <c r="C43" s="389"/>
      <c r="D43" s="389"/>
      <c r="E43" s="430">
        <f t="shared" si="1"/>
        <v>0</v>
      </c>
      <c r="F43" s="424"/>
    </row>
    <row r="44" spans="1:6" s="385" customFormat="1" ht="19.5" customHeight="1">
      <c r="A44" s="378" t="s">
        <v>197</v>
      </c>
      <c r="B44" s="379" t="s">
        <v>518</v>
      </c>
      <c r="C44" s="389"/>
      <c r="D44" s="389"/>
      <c r="E44" s="430">
        <f t="shared" si="1"/>
        <v>0</v>
      </c>
      <c r="F44" s="424"/>
    </row>
    <row r="45" spans="1:6" s="385" customFormat="1" ht="20.25" customHeight="1">
      <c r="A45" s="378" t="s">
        <v>14</v>
      </c>
      <c r="B45" s="379" t="s">
        <v>519</v>
      </c>
      <c r="C45" s="389"/>
      <c r="D45" s="389"/>
      <c r="E45" s="430">
        <f t="shared" si="1"/>
        <v>0</v>
      </c>
      <c r="F45" s="424"/>
    </row>
    <row r="46" spans="1:6" s="385" customFormat="1" ht="21.75" customHeight="1">
      <c r="A46" s="378" t="s">
        <v>25</v>
      </c>
      <c r="B46" s="379" t="s">
        <v>520</v>
      </c>
      <c r="C46" s="389"/>
      <c r="D46" s="389"/>
      <c r="E46" s="430">
        <f t="shared" si="1"/>
        <v>0</v>
      </c>
      <c r="F46" s="424"/>
    </row>
    <row r="47" spans="1:6" s="385" customFormat="1" ht="34.5" customHeight="1">
      <c r="A47" s="378" t="s">
        <v>521</v>
      </c>
      <c r="B47" s="379" t="s">
        <v>522</v>
      </c>
      <c r="C47" s="389"/>
      <c r="D47" s="389"/>
      <c r="E47" s="430">
        <f t="shared" si="1"/>
        <v>0</v>
      </c>
      <c r="F47" s="424"/>
    </row>
    <row r="48" spans="1:6" ht="51" customHeight="1" hidden="1">
      <c r="A48" s="694" t="s">
        <v>524</v>
      </c>
      <c r="B48" s="694"/>
      <c r="C48" s="694"/>
      <c r="D48" s="694"/>
      <c r="E48" s="694"/>
      <c r="F48" s="694"/>
    </row>
  </sheetData>
  <sheetProtection/>
  <mergeCells count="17">
    <mergeCell ref="A1:B1"/>
    <mergeCell ref="C1:F1"/>
    <mergeCell ref="C2:F2"/>
    <mergeCell ref="A3:B3"/>
    <mergeCell ref="C3:F3"/>
    <mergeCell ref="A7:F7"/>
    <mergeCell ref="E10:F10"/>
    <mergeCell ref="A2:B2"/>
    <mergeCell ref="A6:F6"/>
    <mergeCell ref="A5:F5"/>
    <mergeCell ref="A8:F8"/>
    <mergeCell ref="A48:F48"/>
    <mergeCell ref="A11:A12"/>
    <mergeCell ref="B11:B12"/>
    <mergeCell ref="C11:C12"/>
    <mergeCell ref="D11:D12"/>
    <mergeCell ref="E11:F11"/>
  </mergeCells>
  <printOptions/>
  <pageMargins left="0.7874015748031497" right="0.2362204724409449" top="0.5905511811023623" bottom="0.5118110236220472" header="0.31496062992125984" footer="0.3149606299212598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T64"/>
  <sheetViews>
    <sheetView zoomScale="85" zoomScaleNormal="85" workbookViewId="0" topLeftCell="A37">
      <selection activeCell="D12" sqref="D12:D14"/>
    </sheetView>
  </sheetViews>
  <sheetFormatPr defaultColWidth="8.796875" defaultRowHeight="15"/>
  <cols>
    <col min="1" max="1" width="5.09765625" style="3" customWidth="1"/>
    <col min="2" max="2" width="31.3984375" style="3" customWidth="1"/>
    <col min="3" max="3" width="10.09765625" style="3" customWidth="1"/>
    <col min="4" max="4" width="8.19921875" style="3" customWidth="1"/>
    <col min="5" max="5" width="9.69921875" style="3" customWidth="1"/>
    <col min="6" max="6" width="10.09765625" style="3" customWidth="1"/>
    <col min="7" max="7" width="10" style="3" customWidth="1"/>
    <col min="8" max="8" width="11.19921875" style="3" customWidth="1"/>
    <col min="9" max="9" width="10.3984375" style="3" customWidth="1"/>
    <col min="10" max="10" width="10.59765625" style="3" customWidth="1"/>
    <col min="11" max="11" width="11.3984375" style="3" customWidth="1"/>
    <col min="12" max="14" width="9.19921875" style="3" customWidth="1"/>
    <col min="15" max="16384" width="9" style="3" customWidth="1"/>
  </cols>
  <sheetData>
    <row r="1" spans="1:20" ht="16.5" customHeight="1">
      <c r="A1" s="832" t="s">
        <v>794</v>
      </c>
      <c r="B1" s="832"/>
      <c r="C1" s="835"/>
      <c r="D1" s="835"/>
      <c r="E1" s="832" t="s">
        <v>809</v>
      </c>
      <c r="F1" s="832"/>
      <c r="G1" s="832"/>
      <c r="H1" s="832"/>
      <c r="I1" s="832"/>
      <c r="J1" s="832"/>
      <c r="K1" s="832"/>
      <c r="L1" s="835"/>
      <c r="M1" s="835"/>
      <c r="N1" s="835"/>
      <c r="O1" s="835"/>
      <c r="P1" s="835"/>
      <c r="Q1" s="835"/>
      <c r="R1" s="835"/>
      <c r="S1" s="835"/>
      <c r="T1" s="835"/>
    </row>
    <row r="2" spans="1:20" ht="16.5">
      <c r="A2" s="833" t="s">
        <v>260</v>
      </c>
      <c r="B2" s="833"/>
      <c r="C2" s="850"/>
      <c r="D2" s="850"/>
      <c r="E2" s="834" t="s">
        <v>810</v>
      </c>
      <c r="F2" s="834"/>
      <c r="G2" s="834"/>
      <c r="H2" s="834"/>
      <c r="I2" s="834"/>
      <c r="J2" s="834"/>
      <c r="K2" s="834"/>
      <c r="L2" s="836"/>
      <c r="M2" s="836"/>
      <c r="N2" s="836"/>
      <c r="O2" s="836"/>
      <c r="P2" s="836"/>
      <c r="Q2" s="836"/>
      <c r="R2" s="836"/>
      <c r="S2" s="836"/>
      <c r="T2" s="836"/>
    </row>
    <row r="3" spans="1:20" ht="15.75">
      <c r="A3" s="810" t="s">
        <v>811</v>
      </c>
      <c r="B3" s="810"/>
      <c r="C3" s="851"/>
      <c r="D3" s="851"/>
      <c r="E3" s="821" t="s">
        <v>802</v>
      </c>
      <c r="F3" s="821"/>
      <c r="G3" s="821"/>
      <c r="H3" s="821"/>
      <c r="I3" s="821"/>
      <c r="J3" s="821"/>
      <c r="K3" s="821"/>
      <c r="L3" s="831"/>
      <c r="M3" s="831"/>
      <c r="N3" s="831"/>
      <c r="O3" s="831"/>
      <c r="P3" s="831"/>
      <c r="Q3" s="831"/>
      <c r="R3" s="831"/>
      <c r="S3" s="831"/>
      <c r="T3" s="831"/>
    </row>
    <row r="4" spans="1:20" ht="20.25">
      <c r="A4" s="818"/>
      <c r="B4" s="692"/>
      <c r="C4" s="823"/>
      <c r="D4" s="824"/>
      <c r="E4" s="824"/>
      <c r="F4" s="824"/>
      <c r="G4" s="824"/>
      <c r="H4" s="824"/>
      <c r="I4" s="126"/>
      <c r="J4" s="126"/>
      <c r="K4" s="126"/>
      <c r="L4" s="693"/>
      <c r="M4" s="693"/>
      <c r="N4" s="693"/>
      <c r="O4" s="693"/>
      <c r="P4" s="693"/>
      <c r="Q4" s="693"/>
      <c r="R4" s="693"/>
      <c r="S4" s="693"/>
      <c r="T4" s="693"/>
    </row>
    <row r="5" spans="1:20" ht="15.75" customHeight="1">
      <c r="A5" s="825" t="s">
        <v>829</v>
      </c>
      <c r="B5" s="825"/>
      <c r="C5" s="825"/>
      <c r="D5" s="825"/>
      <c r="E5" s="825"/>
      <c r="F5" s="825"/>
      <c r="G5" s="825"/>
      <c r="H5" s="825"/>
      <c r="I5" s="825"/>
      <c r="J5" s="825"/>
      <c r="K5" s="825"/>
      <c r="L5" s="845"/>
      <c r="M5" s="845"/>
      <c r="N5" s="845"/>
      <c r="O5" s="845"/>
      <c r="P5" s="845"/>
      <c r="Q5" s="845"/>
      <c r="R5" s="845"/>
      <c r="S5" s="845"/>
      <c r="T5" s="845"/>
    </row>
    <row r="6" spans="1:14" ht="21" customHeight="1">
      <c r="A6" s="727" t="s">
        <v>246</v>
      </c>
      <c r="B6" s="727"/>
      <c r="C6" s="727"/>
      <c r="D6" s="727"/>
      <c r="E6" s="727"/>
      <c r="F6" s="727"/>
      <c r="G6" s="727"/>
      <c r="H6" s="727"/>
      <c r="I6" s="727"/>
      <c r="J6" s="727"/>
      <c r="K6" s="727"/>
      <c r="N6" s="126"/>
    </row>
    <row r="7" spans="1:14" ht="21" customHeight="1">
      <c r="A7" s="727" t="s">
        <v>477</v>
      </c>
      <c r="B7" s="727"/>
      <c r="C7" s="727"/>
      <c r="D7" s="727"/>
      <c r="E7" s="727"/>
      <c r="F7" s="727"/>
      <c r="G7" s="727"/>
      <c r="H7" s="727"/>
      <c r="I7" s="727"/>
      <c r="J7" s="727"/>
      <c r="K7" s="727"/>
      <c r="N7" s="126"/>
    </row>
    <row r="8" spans="1:14" ht="20.25" customHeight="1">
      <c r="A8" s="847" t="s">
        <v>800</v>
      </c>
      <c r="B8" s="847"/>
      <c r="C8" s="847"/>
      <c r="D8" s="847"/>
      <c r="E8" s="847"/>
      <c r="F8" s="847"/>
      <c r="G8" s="847"/>
      <c r="H8" s="847"/>
      <c r="I8" s="847"/>
      <c r="J8" s="847"/>
      <c r="K8" s="847"/>
      <c r="N8" s="356"/>
    </row>
    <row r="9" spans="1:14" ht="15.75">
      <c r="A9" s="805" t="s">
        <v>820</v>
      </c>
      <c r="B9" s="805"/>
      <c r="C9" s="805"/>
      <c r="D9" s="805"/>
      <c r="E9" s="805"/>
      <c r="F9" s="805"/>
      <c r="G9" s="805"/>
      <c r="H9" s="805"/>
      <c r="I9" s="805"/>
      <c r="J9" s="805"/>
      <c r="K9" s="805"/>
      <c r="N9" s="505"/>
    </row>
    <row r="10" spans="1:14" ht="19.5" customHeight="1">
      <c r="A10" s="162"/>
      <c r="B10" s="162"/>
      <c r="C10" s="125"/>
      <c r="D10" s="125"/>
      <c r="E10" s="125"/>
      <c r="F10" s="125"/>
      <c r="G10" s="125"/>
      <c r="H10" s="125"/>
      <c r="I10" s="163"/>
      <c r="J10" s="163"/>
      <c r="K10" s="164" t="s">
        <v>0</v>
      </c>
      <c r="N10" s="40"/>
    </row>
    <row r="11" spans="1:14" ht="24.75" customHeight="1">
      <c r="A11" s="708" t="s">
        <v>62</v>
      </c>
      <c r="B11" s="729" t="s">
        <v>69</v>
      </c>
      <c r="C11" s="708" t="s">
        <v>97</v>
      </c>
      <c r="D11" s="717" t="s">
        <v>2</v>
      </c>
      <c r="E11" s="718"/>
      <c r="F11" s="718"/>
      <c r="G11" s="719"/>
      <c r="H11" s="708" t="s">
        <v>98</v>
      </c>
      <c r="I11" s="708" t="s">
        <v>99</v>
      </c>
      <c r="J11" s="708" t="s">
        <v>90</v>
      </c>
      <c r="K11" s="708"/>
      <c r="N11" s="45"/>
    </row>
    <row r="12" spans="1:14" ht="20.25" customHeight="1">
      <c r="A12" s="710"/>
      <c r="B12" s="730"/>
      <c r="C12" s="708"/>
      <c r="D12" s="714" t="s">
        <v>249</v>
      </c>
      <c r="E12" s="708" t="s">
        <v>100</v>
      </c>
      <c r="F12" s="708" t="s">
        <v>176</v>
      </c>
      <c r="G12" s="708" t="s">
        <v>177</v>
      </c>
      <c r="H12" s="708"/>
      <c r="I12" s="708"/>
      <c r="J12" s="708" t="s">
        <v>101</v>
      </c>
      <c r="K12" s="708" t="s">
        <v>102</v>
      </c>
      <c r="N12" s="44"/>
    </row>
    <row r="13" spans="1:14" ht="20.25" customHeight="1">
      <c r="A13" s="710"/>
      <c r="B13" s="730"/>
      <c r="C13" s="708"/>
      <c r="D13" s="715"/>
      <c r="E13" s="708"/>
      <c r="F13" s="708"/>
      <c r="G13" s="708"/>
      <c r="H13" s="708"/>
      <c r="I13" s="708"/>
      <c r="J13" s="708"/>
      <c r="K13" s="708"/>
      <c r="N13" s="44"/>
    </row>
    <row r="14" spans="1:14" ht="31.5" customHeight="1">
      <c r="A14" s="710"/>
      <c r="B14" s="731"/>
      <c r="C14" s="708"/>
      <c r="D14" s="716"/>
      <c r="E14" s="708"/>
      <c r="F14" s="708"/>
      <c r="G14" s="708"/>
      <c r="H14" s="708"/>
      <c r="I14" s="708"/>
      <c r="J14" s="708"/>
      <c r="K14" s="708"/>
      <c r="N14" s="44"/>
    </row>
    <row r="15" spans="1:14" s="9" customFormat="1" ht="17.25" customHeight="1">
      <c r="A15" s="8" t="s">
        <v>5</v>
      </c>
      <c r="B15" s="8" t="s">
        <v>6</v>
      </c>
      <c r="C15" s="8" t="s">
        <v>103</v>
      </c>
      <c r="D15" s="8"/>
      <c r="E15" s="42">
        <v>2</v>
      </c>
      <c r="F15" s="42">
        <f>E15+1</f>
        <v>3</v>
      </c>
      <c r="G15" s="42">
        <f>F15+1</f>
        <v>4</v>
      </c>
      <c r="H15" s="42">
        <f>G15+1</f>
        <v>5</v>
      </c>
      <c r="I15" s="8" t="s">
        <v>104</v>
      </c>
      <c r="J15" s="42">
        <v>7</v>
      </c>
      <c r="K15" s="8">
        <f>J15+1</f>
        <v>8</v>
      </c>
      <c r="N15" s="506"/>
    </row>
    <row r="16" spans="1:14" s="43" customFormat="1" ht="15.75">
      <c r="A16" s="109"/>
      <c r="B16" s="109" t="s">
        <v>70</v>
      </c>
      <c r="C16" s="112">
        <f aca="true" t="shared" si="0" ref="C16:K16">SUM(C17:C54)</f>
        <v>294276.288103</v>
      </c>
      <c r="D16" s="112">
        <f t="shared" si="0"/>
        <v>2737.780555</v>
      </c>
      <c r="E16" s="112">
        <f t="shared" si="0"/>
        <v>249604.08230000004</v>
      </c>
      <c r="F16" s="112">
        <f t="shared" si="0"/>
        <v>52832.19488699998</v>
      </c>
      <c r="G16" s="112">
        <f t="shared" si="0"/>
        <v>10897.769638999998</v>
      </c>
      <c r="H16" s="112">
        <f t="shared" si="0"/>
        <v>281486.9057609999</v>
      </c>
      <c r="I16" s="128">
        <f t="shared" si="0"/>
        <v>12789.382342</v>
      </c>
      <c r="J16" s="128">
        <f t="shared" si="0"/>
        <v>1642.009195</v>
      </c>
      <c r="K16" s="128">
        <f t="shared" si="0"/>
        <v>11147.373145000016</v>
      </c>
      <c r="L16" s="153"/>
      <c r="N16" s="349"/>
    </row>
    <row r="17" spans="1:14" s="125" customFormat="1" ht="15.75">
      <c r="A17" s="152">
        <v>1</v>
      </c>
      <c r="B17" s="123" t="s">
        <v>198</v>
      </c>
      <c r="C17" s="131">
        <f>D17+E17+F17-G17</f>
        <v>8790.111074</v>
      </c>
      <c r="D17" s="131"/>
      <c r="E17" s="131">
        <f>7398904000/1000000</f>
        <v>7398.904</v>
      </c>
      <c r="F17" s="131">
        <f>1391207074/1000000</f>
        <v>1391.207074</v>
      </c>
      <c r="G17" s="131">
        <v>0</v>
      </c>
      <c r="H17" s="131">
        <f>'BIEU 56'!D17</f>
        <v>7758.508556</v>
      </c>
      <c r="I17" s="137">
        <f aca="true" t="shared" si="1" ref="I17:I54">C17-H17</f>
        <v>1031.6025180000006</v>
      </c>
      <c r="J17" s="137"/>
      <c r="K17" s="137">
        <f>I17</f>
        <v>1031.6025180000006</v>
      </c>
      <c r="N17" s="507"/>
    </row>
    <row r="18" spans="1:14" s="125" customFormat="1" ht="15.75">
      <c r="A18" s="152">
        <v>2</v>
      </c>
      <c r="B18" s="123" t="s">
        <v>199</v>
      </c>
      <c r="C18" s="131">
        <f aca="true" t="shared" si="2" ref="C18:C54">D18+E18+F18-G18</f>
        <v>655.079647</v>
      </c>
      <c r="D18" s="131"/>
      <c r="E18" s="131">
        <f>572178000/1000000</f>
        <v>572.178</v>
      </c>
      <c r="F18" s="131">
        <f>82901647/1000000</f>
        <v>82.901647</v>
      </c>
      <c r="G18" s="131"/>
      <c r="H18" s="131">
        <f>'BIEU 56'!D18</f>
        <v>628.888647</v>
      </c>
      <c r="I18" s="137">
        <f t="shared" si="1"/>
        <v>26.19100000000003</v>
      </c>
      <c r="J18" s="137"/>
      <c r="K18" s="137">
        <f aca="true" t="shared" si="3" ref="K18:K54">I18</f>
        <v>26.19100000000003</v>
      </c>
      <c r="N18" s="507"/>
    </row>
    <row r="19" spans="1:14" s="125" customFormat="1" ht="15.75">
      <c r="A19" s="152">
        <v>3</v>
      </c>
      <c r="B19" s="123" t="s">
        <v>200</v>
      </c>
      <c r="C19" s="131">
        <f t="shared" si="2"/>
        <v>1855.134796</v>
      </c>
      <c r="D19" s="131"/>
      <c r="E19" s="131">
        <f>1595530000/1000000</f>
        <v>1595.53</v>
      </c>
      <c r="F19" s="131">
        <f>259604796/1000000</f>
        <v>259.604796</v>
      </c>
      <c r="G19" s="131"/>
      <c r="H19" s="131">
        <f>'BIEU 56'!D19</f>
        <v>1770.845841</v>
      </c>
      <c r="I19" s="137">
        <f t="shared" si="1"/>
        <v>84.28895499999999</v>
      </c>
      <c r="J19" s="137"/>
      <c r="K19" s="137">
        <f t="shared" si="3"/>
        <v>84.28895499999999</v>
      </c>
      <c r="N19" s="507"/>
    </row>
    <row r="20" spans="1:14" s="421" customFormat="1" ht="15.75">
      <c r="A20" s="152">
        <v>4</v>
      </c>
      <c r="B20" s="161" t="s">
        <v>201</v>
      </c>
      <c r="C20" s="373">
        <f>D20+E20+F20-G20</f>
        <v>8209.994599</v>
      </c>
      <c r="D20" s="373"/>
      <c r="E20" s="373">
        <f>7126874000/1000000</f>
        <v>7126.874</v>
      </c>
      <c r="F20" s="373">
        <f>(1083120599)/1000000</f>
        <v>1083.120599</v>
      </c>
      <c r="G20" s="373">
        <f>0/1000000</f>
        <v>0</v>
      </c>
      <c r="H20" s="373">
        <f>'BIEU 56'!D20</f>
        <v>7660.246503</v>
      </c>
      <c r="I20" s="393">
        <f>C20-H20</f>
        <v>549.7480959999994</v>
      </c>
      <c r="J20" s="393">
        <f>30</f>
        <v>30</v>
      </c>
      <c r="K20" s="393">
        <f>519748096/1000000</f>
        <v>519.748096</v>
      </c>
      <c r="N20" s="508"/>
    </row>
    <row r="21" spans="1:14" s="421" customFormat="1" ht="15.75">
      <c r="A21" s="152">
        <v>5</v>
      </c>
      <c r="B21" s="161" t="s">
        <v>202</v>
      </c>
      <c r="C21" s="373">
        <f t="shared" si="2"/>
        <v>3616.021599</v>
      </c>
      <c r="D21" s="373"/>
      <c r="E21" s="373">
        <f>2006805000/1000000</f>
        <v>2006.805</v>
      </c>
      <c r="F21" s="373">
        <f>1646695599/1000000</f>
        <v>1646.695599</v>
      </c>
      <c r="G21" s="373">
        <f>37479000/1000000</f>
        <v>37.479</v>
      </c>
      <c r="H21" s="373">
        <f>'BIEU 56'!D21</f>
        <v>3254.781398</v>
      </c>
      <c r="I21" s="393">
        <f>C21-H21</f>
        <v>361.24020100000007</v>
      </c>
      <c r="J21" s="393"/>
      <c r="K21" s="393">
        <f t="shared" si="3"/>
        <v>361.24020100000007</v>
      </c>
      <c r="N21" s="508"/>
    </row>
    <row r="22" spans="1:14" s="421" customFormat="1" ht="15.75">
      <c r="A22" s="152">
        <v>6</v>
      </c>
      <c r="B22" s="161" t="s">
        <v>203</v>
      </c>
      <c r="C22" s="373">
        <f>D22+E22+F22-G22</f>
        <v>138072.361596</v>
      </c>
      <c r="D22" s="373">
        <v>2737.780555</v>
      </c>
      <c r="E22" s="373">
        <f>130543999648/1000000</f>
        <v>130543.999648</v>
      </c>
      <c r="F22" s="373">
        <f>4851898568/1000000</f>
        <v>4851.898568</v>
      </c>
      <c r="G22" s="373">
        <f>61317175/1000000</f>
        <v>61.317175</v>
      </c>
      <c r="H22" s="373">
        <f>'BIEU 56'!D22</f>
        <v>133244.829356</v>
      </c>
      <c r="I22" s="393">
        <f>C22-H22</f>
        <v>4827.5322400000005</v>
      </c>
      <c r="J22" s="393">
        <f>1606267626/1000000</f>
        <v>1606.267626</v>
      </c>
      <c r="K22" s="393">
        <v>3221.2646120000145</v>
      </c>
      <c r="L22" s="471"/>
      <c r="N22" s="508"/>
    </row>
    <row r="23" spans="1:14" s="125" customFormat="1" ht="15.75">
      <c r="A23" s="152">
        <v>7</v>
      </c>
      <c r="B23" s="123" t="s">
        <v>204</v>
      </c>
      <c r="C23" s="131">
        <f t="shared" si="2"/>
        <v>636.049295</v>
      </c>
      <c r="D23" s="131"/>
      <c r="E23" s="131">
        <f>610083080/1000000</f>
        <v>610.08308</v>
      </c>
      <c r="F23" s="131">
        <f>25966215/1000000</f>
        <v>25.966215</v>
      </c>
      <c r="G23" s="131">
        <v>0</v>
      </c>
      <c r="H23" s="131">
        <f>'BIEU 56'!D23</f>
        <v>632.302295</v>
      </c>
      <c r="I23" s="137">
        <f t="shared" si="1"/>
        <v>3.747000000000071</v>
      </c>
      <c r="J23" s="137"/>
      <c r="K23" s="137">
        <f t="shared" si="3"/>
        <v>3.747000000000071</v>
      </c>
      <c r="N23" s="507"/>
    </row>
    <row r="24" spans="1:14" s="421" customFormat="1" ht="15.75">
      <c r="A24" s="152">
        <v>8</v>
      </c>
      <c r="B24" s="161" t="s">
        <v>240</v>
      </c>
      <c r="C24" s="373">
        <f>D24+E24+F24-G24</f>
        <v>12785.111192</v>
      </c>
      <c r="D24" s="373"/>
      <c r="E24" s="373">
        <f>19825802500/1000000</f>
        <v>19825.8025</v>
      </c>
      <c r="F24" s="373">
        <f>1978308692/1000000</f>
        <v>1978.308692</v>
      </c>
      <c r="G24" s="373">
        <f>9019000000/1000000</f>
        <v>9019</v>
      </c>
      <c r="H24" s="373">
        <f>'BIEU 56'!D24</f>
        <v>12597.380647999998</v>
      </c>
      <c r="I24" s="393">
        <f t="shared" si="1"/>
        <v>187.73054400000183</v>
      </c>
      <c r="J24" s="393"/>
      <c r="K24" s="393">
        <f t="shared" si="3"/>
        <v>187.73054400000183</v>
      </c>
      <c r="N24" s="508"/>
    </row>
    <row r="25" spans="1:14" s="125" customFormat="1" ht="15.75">
      <c r="A25" s="152">
        <v>9</v>
      </c>
      <c r="B25" s="123" t="s">
        <v>625</v>
      </c>
      <c r="C25" s="131">
        <f t="shared" si="2"/>
        <v>1356.98702</v>
      </c>
      <c r="D25" s="131"/>
      <c r="E25" s="131">
        <f>1165341072/1000000</f>
        <v>1165.341072</v>
      </c>
      <c r="F25" s="131">
        <f>191645948/1000000</f>
        <v>191.645948</v>
      </c>
      <c r="G25" s="131"/>
      <c r="H25" s="131">
        <f>'BIEU 56'!D25</f>
        <v>1335.88642</v>
      </c>
      <c r="I25" s="137">
        <f>C25-H25</f>
        <v>21.100599999999986</v>
      </c>
      <c r="J25" s="137">
        <f>5255000/1000000</f>
        <v>5.255</v>
      </c>
      <c r="K25" s="137">
        <f>15845600/1000000</f>
        <v>15.8456</v>
      </c>
      <c r="N25" s="507"/>
    </row>
    <row r="26" spans="1:14" s="421" customFormat="1" ht="15.75">
      <c r="A26" s="152">
        <v>10</v>
      </c>
      <c r="B26" s="161" t="s">
        <v>207</v>
      </c>
      <c r="C26" s="373">
        <f t="shared" si="2"/>
        <v>2653.074</v>
      </c>
      <c r="D26" s="373"/>
      <c r="E26" s="373">
        <f>2542113000/1000000</f>
        <v>2542.113</v>
      </c>
      <c r="F26" s="373">
        <f>163041000/1000000</f>
        <v>163.041</v>
      </c>
      <c r="G26" s="373">
        <f>52080000/1000000</f>
        <v>52.08</v>
      </c>
      <c r="H26" s="373">
        <f>'BIEU 56'!D26</f>
        <v>2384.647415</v>
      </c>
      <c r="I26" s="393">
        <f t="shared" si="1"/>
        <v>268.42658500000016</v>
      </c>
      <c r="J26" s="393"/>
      <c r="K26" s="393">
        <f t="shared" si="3"/>
        <v>268.42658500000016</v>
      </c>
      <c r="N26" s="508"/>
    </row>
    <row r="27" spans="1:14" s="125" customFormat="1" ht="15.75">
      <c r="A27" s="152">
        <v>11</v>
      </c>
      <c r="B27" s="123" t="s">
        <v>208</v>
      </c>
      <c r="C27" s="131">
        <f t="shared" si="2"/>
        <v>3115.502974</v>
      </c>
      <c r="D27" s="131"/>
      <c r="E27" s="131">
        <f>2795451000/1000000</f>
        <v>2795.451</v>
      </c>
      <c r="F27" s="131">
        <f>(320051974)/1000000</f>
        <v>320.051974</v>
      </c>
      <c r="G27" s="131">
        <f>0/1000000</f>
        <v>0</v>
      </c>
      <c r="H27" s="131">
        <f>'BIEU 56'!D27</f>
        <v>3012.938824</v>
      </c>
      <c r="I27" s="137">
        <f t="shared" si="1"/>
        <v>102.56415000000015</v>
      </c>
      <c r="J27" s="137"/>
      <c r="K27" s="137">
        <f t="shared" si="3"/>
        <v>102.56415000000015</v>
      </c>
      <c r="N27" s="507"/>
    </row>
    <row r="28" spans="1:14" s="421" customFormat="1" ht="15.75">
      <c r="A28" s="152">
        <v>12</v>
      </c>
      <c r="B28" s="161" t="s">
        <v>209</v>
      </c>
      <c r="C28" s="373">
        <f t="shared" si="2"/>
        <v>1192.3079080000002</v>
      </c>
      <c r="D28" s="373"/>
      <c r="E28" s="373">
        <f>1013432000/1000000</f>
        <v>1013.432</v>
      </c>
      <c r="F28" s="373">
        <f>315297964/1000000</f>
        <v>315.297964</v>
      </c>
      <c r="G28" s="373">
        <f>136422056/1000000</f>
        <v>136.422056</v>
      </c>
      <c r="H28" s="373">
        <f>'BIEU 56'!D28</f>
        <v>1141.303333</v>
      </c>
      <c r="I28" s="393">
        <f t="shared" si="1"/>
        <v>51.00457500000016</v>
      </c>
      <c r="J28" s="393"/>
      <c r="K28" s="393">
        <f t="shared" si="3"/>
        <v>51.00457500000016</v>
      </c>
      <c r="N28" s="508"/>
    </row>
    <row r="29" spans="1:14" s="421" customFormat="1" ht="15.75">
      <c r="A29" s="152">
        <v>13</v>
      </c>
      <c r="B29" s="161" t="s">
        <v>233</v>
      </c>
      <c r="C29" s="373">
        <f t="shared" si="2"/>
        <v>2720.851705</v>
      </c>
      <c r="D29" s="373"/>
      <c r="E29" s="373">
        <f>3444475000/1000000</f>
        <v>3444.475</v>
      </c>
      <c r="F29" s="373">
        <f>66756000/1000000</f>
        <v>66.756</v>
      </c>
      <c r="G29" s="373">
        <f>790379295/1000000</f>
        <v>790.379295</v>
      </c>
      <c r="H29" s="373">
        <f>'BIEU 56'!D29</f>
        <v>2720.851705</v>
      </c>
      <c r="I29" s="393">
        <f t="shared" si="1"/>
        <v>0</v>
      </c>
      <c r="J29" s="393"/>
      <c r="K29" s="393">
        <f t="shared" si="3"/>
        <v>0</v>
      </c>
      <c r="N29" s="508"/>
    </row>
    <row r="30" spans="1:14" s="421" customFormat="1" ht="15.75">
      <c r="A30" s="152">
        <v>14</v>
      </c>
      <c r="B30" s="161" t="s">
        <v>210</v>
      </c>
      <c r="C30" s="373">
        <f t="shared" si="2"/>
        <v>479.720066</v>
      </c>
      <c r="D30" s="373"/>
      <c r="E30" s="373">
        <f>798211000/1000000</f>
        <v>798.211</v>
      </c>
      <c r="F30" s="373">
        <f>143418780/1000000</f>
        <v>143.41878</v>
      </c>
      <c r="G30" s="373">
        <f>461909714/1000000</f>
        <v>461.909714</v>
      </c>
      <c r="H30" s="373">
        <f>'BIEU 56'!D30</f>
        <v>479.720066</v>
      </c>
      <c r="I30" s="393">
        <f t="shared" si="1"/>
        <v>0</v>
      </c>
      <c r="J30" s="393"/>
      <c r="K30" s="393">
        <f t="shared" si="3"/>
        <v>0</v>
      </c>
      <c r="N30" s="508"/>
    </row>
    <row r="31" spans="1:14" s="421" customFormat="1" ht="15.75">
      <c r="A31" s="152">
        <v>15</v>
      </c>
      <c r="B31" s="161" t="s">
        <v>226</v>
      </c>
      <c r="C31" s="373">
        <f>D31+E31+F31-G31</f>
        <v>211.388601</v>
      </c>
      <c r="D31" s="373"/>
      <c r="E31" s="373">
        <f>470950000/1000000</f>
        <v>470.95</v>
      </c>
      <c r="F31" s="373">
        <v>0</v>
      </c>
      <c r="G31" s="373">
        <f>259561399/1000000</f>
        <v>259.561399</v>
      </c>
      <c r="H31" s="373">
        <f>'BIEU 56'!D31</f>
        <v>211.388601</v>
      </c>
      <c r="I31" s="393">
        <f>C31-H31</f>
        <v>0</v>
      </c>
      <c r="J31" s="393"/>
      <c r="K31" s="393">
        <f>I31</f>
        <v>0</v>
      </c>
      <c r="N31" s="508"/>
    </row>
    <row r="32" spans="1:14" s="421" customFormat="1" ht="15.75">
      <c r="A32" s="152">
        <v>16</v>
      </c>
      <c r="B32" s="161" t="s">
        <v>624</v>
      </c>
      <c r="C32" s="373">
        <f>D32+E32+F32-G32</f>
        <v>4423.59735</v>
      </c>
      <c r="D32" s="373"/>
      <c r="E32" s="373">
        <f>3098944000/1000000</f>
        <v>3098.944</v>
      </c>
      <c r="F32" s="373">
        <f>1324653350/1000000</f>
        <v>1324.65335</v>
      </c>
      <c r="G32" s="373"/>
      <c r="H32" s="373">
        <f>'BIEU 56'!D32</f>
        <v>4023.8317429999997</v>
      </c>
      <c r="I32" s="393">
        <f>C32-H32</f>
        <v>399.7656070000003</v>
      </c>
      <c r="J32" s="393"/>
      <c r="K32" s="393">
        <f>I32</f>
        <v>399.7656070000003</v>
      </c>
      <c r="N32" s="508"/>
    </row>
    <row r="33" spans="1:14" s="125" customFormat="1" ht="15.75">
      <c r="A33" s="152">
        <v>17</v>
      </c>
      <c r="B33" s="123" t="s">
        <v>211</v>
      </c>
      <c r="C33" s="131">
        <f t="shared" si="2"/>
        <v>1136.536178</v>
      </c>
      <c r="D33" s="131"/>
      <c r="E33" s="131">
        <f>1095980000/1000000</f>
        <v>1095.98</v>
      </c>
      <c r="F33" s="131">
        <f>40556178/1000000</f>
        <v>40.556178</v>
      </c>
      <c r="G33" s="131"/>
      <c r="H33" s="131">
        <f>'BIEU 56'!D33</f>
        <v>1111.304178</v>
      </c>
      <c r="I33" s="137">
        <f t="shared" si="1"/>
        <v>25.23199999999997</v>
      </c>
      <c r="J33" s="137"/>
      <c r="K33" s="137">
        <f t="shared" si="3"/>
        <v>25.23199999999997</v>
      </c>
      <c r="N33" s="507"/>
    </row>
    <row r="34" spans="1:14" s="125" customFormat="1" ht="15.75">
      <c r="A34" s="152">
        <v>18</v>
      </c>
      <c r="B34" s="123" t="s">
        <v>234</v>
      </c>
      <c r="C34" s="131">
        <f t="shared" si="2"/>
        <v>1231.129328</v>
      </c>
      <c r="D34" s="131"/>
      <c r="E34" s="131">
        <f>1153400000/1000000</f>
        <v>1153.4</v>
      </c>
      <c r="F34" s="131">
        <f>77729328/1000000</f>
        <v>77.729328</v>
      </c>
      <c r="G34" s="131"/>
      <c r="H34" s="131">
        <f>'BIEU 56'!D34</f>
        <v>1231.129328</v>
      </c>
      <c r="I34" s="137">
        <f t="shared" si="1"/>
        <v>0</v>
      </c>
      <c r="J34" s="137"/>
      <c r="K34" s="137">
        <f t="shared" si="3"/>
        <v>0</v>
      </c>
      <c r="N34" s="507"/>
    </row>
    <row r="35" spans="1:14" s="125" customFormat="1" ht="15.75">
      <c r="A35" s="152">
        <v>19</v>
      </c>
      <c r="B35" s="123" t="s">
        <v>212</v>
      </c>
      <c r="C35" s="131">
        <f t="shared" si="2"/>
        <v>76018.527</v>
      </c>
      <c r="D35" s="131"/>
      <c r="E35" s="131">
        <f>47631500000/1000000</f>
        <v>47631.5</v>
      </c>
      <c r="F35" s="131">
        <f>(205080000+28181947000)/1000000</f>
        <v>28387.027</v>
      </c>
      <c r="G35" s="131"/>
      <c r="H35" s="131">
        <f>'BIEU 56'!D35</f>
        <v>71825.409709</v>
      </c>
      <c r="I35" s="137">
        <f t="shared" si="1"/>
        <v>4193.117291000002</v>
      </c>
      <c r="J35" s="137"/>
      <c r="K35" s="137">
        <f t="shared" si="3"/>
        <v>4193.117291000002</v>
      </c>
      <c r="N35" s="507"/>
    </row>
    <row r="36" spans="1:14" s="125" customFormat="1" ht="15.75">
      <c r="A36" s="152">
        <v>20</v>
      </c>
      <c r="B36" s="123" t="s">
        <v>213</v>
      </c>
      <c r="C36" s="131">
        <f t="shared" si="2"/>
        <v>1857.994438</v>
      </c>
      <c r="D36" s="131"/>
      <c r="E36" s="131">
        <f>1335552000/1000000</f>
        <v>1335.552</v>
      </c>
      <c r="F36" s="131">
        <f>522442438/1000000</f>
        <v>522.442438</v>
      </c>
      <c r="G36" s="131"/>
      <c r="H36" s="131">
        <f>'BIEU 56'!D36</f>
        <v>1506.343225</v>
      </c>
      <c r="I36" s="137">
        <f t="shared" si="1"/>
        <v>351.65121299999987</v>
      </c>
      <c r="J36" s="137"/>
      <c r="K36" s="137">
        <f t="shared" si="3"/>
        <v>351.65121299999987</v>
      </c>
      <c r="N36" s="507"/>
    </row>
    <row r="37" spans="1:14" s="421" customFormat="1" ht="15.75">
      <c r="A37" s="152">
        <v>21</v>
      </c>
      <c r="B37" s="472" t="s">
        <v>214</v>
      </c>
      <c r="C37" s="373">
        <f t="shared" si="2"/>
        <v>2273.355</v>
      </c>
      <c r="D37" s="373"/>
      <c r="E37" s="373">
        <f>1939283000/1000000</f>
        <v>1939.283</v>
      </c>
      <c r="F37" s="373">
        <f>334072000/1000000</f>
        <v>334.072</v>
      </c>
      <c r="G37" s="373"/>
      <c r="H37" s="373">
        <f>'BIEU 56'!D37</f>
        <v>2140.195345</v>
      </c>
      <c r="I37" s="393">
        <f t="shared" si="1"/>
        <v>133.15965499999993</v>
      </c>
      <c r="J37" s="393"/>
      <c r="K37" s="393">
        <f t="shared" si="3"/>
        <v>133.15965499999993</v>
      </c>
      <c r="N37" s="508"/>
    </row>
    <row r="38" spans="1:14" s="421" customFormat="1" ht="16.5" customHeight="1">
      <c r="A38" s="152">
        <v>22</v>
      </c>
      <c r="B38" s="472" t="s">
        <v>215</v>
      </c>
      <c r="C38" s="373">
        <f>D38+E38+F38-G38</f>
        <v>1029.745005</v>
      </c>
      <c r="D38" s="373"/>
      <c r="E38" s="373">
        <f>728625000/1000000</f>
        <v>728.625</v>
      </c>
      <c r="F38" s="373">
        <f>301120005/1000000</f>
        <v>301.120005</v>
      </c>
      <c r="G38" s="373">
        <f>0/1000000</f>
        <v>0</v>
      </c>
      <c r="H38" s="373">
        <f>'BIEU 56'!D38</f>
        <v>1028.689505</v>
      </c>
      <c r="I38" s="393">
        <f t="shared" si="1"/>
        <v>1.0554999999999382</v>
      </c>
      <c r="J38" s="393"/>
      <c r="K38" s="393">
        <f t="shared" si="3"/>
        <v>1.0554999999999382</v>
      </c>
      <c r="N38" s="508"/>
    </row>
    <row r="39" spans="1:14" s="125" customFormat="1" ht="15.75">
      <c r="A39" s="152">
        <v>23</v>
      </c>
      <c r="B39" s="166" t="s">
        <v>216</v>
      </c>
      <c r="C39" s="131">
        <f t="shared" si="2"/>
        <v>810.6401979999999</v>
      </c>
      <c r="D39" s="131"/>
      <c r="E39" s="131">
        <f>786435000/1000000</f>
        <v>786.435</v>
      </c>
      <c r="F39" s="131">
        <f>24205198/1000000</f>
        <v>24.205198</v>
      </c>
      <c r="G39" s="131"/>
      <c r="H39" s="131">
        <f>'BIEU 56'!D39</f>
        <v>806.602198</v>
      </c>
      <c r="I39" s="137">
        <f t="shared" si="1"/>
        <v>4.037999999999897</v>
      </c>
      <c r="J39" s="137"/>
      <c r="K39" s="137">
        <f t="shared" si="3"/>
        <v>4.037999999999897</v>
      </c>
      <c r="N39" s="507"/>
    </row>
    <row r="40" spans="1:14" s="125" customFormat="1" ht="15.75">
      <c r="A40" s="152">
        <v>24</v>
      </c>
      <c r="B40" s="166" t="s">
        <v>217</v>
      </c>
      <c r="C40" s="131">
        <f t="shared" si="2"/>
        <v>973.932755</v>
      </c>
      <c r="D40" s="131"/>
      <c r="E40" s="131">
        <f>817860000/1000000</f>
        <v>817.86</v>
      </c>
      <c r="F40" s="131">
        <f>156072755/1000000</f>
        <v>156.072755</v>
      </c>
      <c r="G40" s="131"/>
      <c r="H40" s="131">
        <f>'BIEU 56'!D40</f>
        <v>949.442755</v>
      </c>
      <c r="I40" s="137">
        <f t="shared" si="1"/>
        <v>24.49000000000001</v>
      </c>
      <c r="J40" s="137"/>
      <c r="K40" s="137">
        <f t="shared" si="3"/>
        <v>24.49000000000001</v>
      </c>
      <c r="N40" s="507"/>
    </row>
    <row r="41" spans="1:14" s="125" customFormat="1" ht="15.75">
      <c r="A41" s="152">
        <v>25</v>
      </c>
      <c r="B41" s="166" t="s">
        <v>218</v>
      </c>
      <c r="C41" s="131">
        <f>D41+E41+F41-G41</f>
        <v>569.9010169999999</v>
      </c>
      <c r="D41" s="131"/>
      <c r="E41" s="131">
        <f>553661000/1000000</f>
        <v>553.661</v>
      </c>
      <c r="F41" s="131">
        <f>16240017/1000000</f>
        <v>16.240017</v>
      </c>
      <c r="G41" s="131">
        <f>0/1000000</f>
        <v>0</v>
      </c>
      <c r="H41" s="131">
        <f>'BIEU 56'!D41</f>
        <v>561.753017</v>
      </c>
      <c r="I41" s="137">
        <f t="shared" si="1"/>
        <v>8.14799999999991</v>
      </c>
      <c r="J41" s="137"/>
      <c r="K41" s="137">
        <f t="shared" si="3"/>
        <v>8.14799999999991</v>
      </c>
      <c r="N41" s="507"/>
    </row>
    <row r="42" spans="1:14" s="125" customFormat="1" ht="15.75">
      <c r="A42" s="152">
        <v>26</v>
      </c>
      <c r="B42" s="123" t="s">
        <v>219</v>
      </c>
      <c r="C42" s="131">
        <f t="shared" si="2"/>
        <v>434.72276200000005</v>
      </c>
      <c r="D42" s="131"/>
      <c r="E42" s="131">
        <f>388035000/1000000</f>
        <v>388.035</v>
      </c>
      <c r="F42" s="131">
        <f>46687762/1000000</f>
        <v>46.687762</v>
      </c>
      <c r="G42" s="131"/>
      <c r="H42" s="131">
        <f>'BIEU 56'!D42</f>
        <v>434.722762</v>
      </c>
      <c r="I42" s="137">
        <f t="shared" si="1"/>
        <v>0</v>
      </c>
      <c r="J42" s="137"/>
      <c r="K42" s="137">
        <f t="shared" si="3"/>
        <v>0</v>
      </c>
      <c r="N42" s="507"/>
    </row>
    <row r="43" spans="1:14" s="125" customFormat="1" ht="15.75">
      <c r="A43" s="152">
        <v>27</v>
      </c>
      <c r="B43" s="123" t="s">
        <v>220</v>
      </c>
      <c r="C43" s="131">
        <f t="shared" si="2"/>
        <v>207.39700000000002</v>
      </c>
      <c r="D43" s="131"/>
      <c r="E43" s="131">
        <f>204157000/1000000</f>
        <v>204.157</v>
      </c>
      <c r="F43" s="131">
        <f>3240000/1000000</f>
        <v>3.24</v>
      </c>
      <c r="G43" s="131"/>
      <c r="H43" s="131">
        <f>'BIEU 56'!D43</f>
        <v>176.898993</v>
      </c>
      <c r="I43" s="137">
        <f t="shared" si="1"/>
        <v>30.49800700000003</v>
      </c>
      <c r="J43" s="137"/>
      <c r="K43" s="137">
        <f t="shared" si="3"/>
        <v>30.49800700000003</v>
      </c>
      <c r="N43" s="507"/>
    </row>
    <row r="44" spans="1:14" s="125" customFormat="1" ht="15.75">
      <c r="A44" s="152">
        <v>28</v>
      </c>
      <c r="B44" s="123" t="s">
        <v>221</v>
      </c>
      <c r="C44" s="131">
        <f t="shared" si="2"/>
        <v>229.56500000000003</v>
      </c>
      <c r="D44" s="131"/>
      <c r="E44" s="131">
        <f>224836000/1000000</f>
        <v>224.836</v>
      </c>
      <c r="F44" s="131">
        <f>4729000/1000000</f>
        <v>4.729</v>
      </c>
      <c r="G44" s="131"/>
      <c r="H44" s="131">
        <f>'BIEU 56'!D44</f>
        <v>217.378431</v>
      </c>
      <c r="I44" s="135">
        <f t="shared" si="1"/>
        <v>12.18656900000002</v>
      </c>
      <c r="J44" s="135">
        <f>486569/1000000</f>
        <v>0.486569</v>
      </c>
      <c r="K44" s="135">
        <f>11700000/1000000</f>
        <v>11.7</v>
      </c>
      <c r="N44" s="507"/>
    </row>
    <row r="45" spans="1:14" s="421" customFormat="1" ht="15.75">
      <c r="A45" s="152">
        <v>29</v>
      </c>
      <c r="B45" s="161" t="s">
        <v>222</v>
      </c>
      <c r="C45" s="373">
        <f t="shared" si="2"/>
        <v>79.49900000000001</v>
      </c>
      <c r="D45" s="373"/>
      <c r="E45" s="373">
        <v>159.12</v>
      </c>
      <c r="F45" s="373">
        <f>(0)/1000000</f>
        <v>0</v>
      </c>
      <c r="G45" s="373">
        <f>79621000/1000000</f>
        <v>79.621</v>
      </c>
      <c r="H45" s="373">
        <f>'BIEU 56'!D45</f>
        <v>79.499</v>
      </c>
      <c r="I45" s="393">
        <f t="shared" si="1"/>
        <v>0</v>
      </c>
      <c r="J45" s="393"/>
      <c r="K45" s="393">
        <f t="shared" si="3"/>
        <v>0</v>
      </c>
      <c r="N45" s="508"/>
    </row>
    <row r="46" spans="1:14" s="125" customFormat="1" ht="15.75">
      <c r="A46" s="152">
        <v>30</v>
      </c>
      <c r="B46" s="123" t="s">
        <v>223</v>
      </c>
      <c r="C46" s="131">
        <f t="shared" si="2"/>
        <v>140.72</v>
      </c>
      <c r="D46" s="131"/>
      <c r="E46" s="131">
        <f>137480000/1000000</f>
        <v>137.48</v>
      </c>
      <c r="F46" s="131">
        <f>3240000/1000000</f>
        <v>3.24</v>
      </c>
      <c r="G46" s="131"/>
      <c r="H46" s="131">
        <f>'BIEU 56'!D46</f>
        <v>116.5625</v>
      </c>
      <c r="I46" s="137">
        <f t="shared" si="1"/>
        <v>24.1575</v>
      </c>
      <c r="J46" s="137"/>
      <c r="K46" s="137">
        <f t="shared" si="3"/>
        <v>24.1575</v>
      </c>
      <c r="N46" s="507"/>
    </row>
    <row r="47" spans="1:14" s="125" customFormat="1" ht="15.75">
      <c r="A47" s="152">
        <v>31</v>
      </c>
      <c r="B47" s="130" t="s">
        <v>224</v>
      </c>
      <c r="C47" s="131">
        <f t="shared" si="2"/>
        <v>124.92</v>
      </c>
      <c r="D47" s="131"/>
      <c r="E47" s="131">
        <f>121680000/1000000</f>
        <v>121.68</v>
      </c>
      <c r="F47" s="131">
        <f>3240000/1000000</f>
        <v>3.24</v>
      </c>
      <c r="G47" s="131"/>
      <c r="H47" s="131">
        <f>'BIEU 56'!D47</f>
        <v>123.026298</v>
      </c>
      <c r="I47" s="137">
        <f t="shared" si="1"/>
        <v>1.8937020000000047</v>
      </c>
      <c r="J47" s="137"/>
      <c r="K47" s="137">
        <f t="shared" si="3"/>
        <v>1.8937020000000047</v>
      </c>
      <c r="N47" s="507"/>
    </row>
    <row r="48" spans="1:14" s="125" customFormat="1" ht="15.75">
      <c r="A48" s="152">
        <v>32</v>
      </c>
      <c r="B48" s="123" t="s">
        <v>225</v>
      </c>
      <c r="C48" s="131">
        <f t="shared" si="2"/>
        <v>241.04000000000002</v>
      </c>
      <c r="D48" s="131"/>
      <c r="E48" s="131">
        <f>237800000/1000000</f>
        <v>237.8</v>
      </c>
      <c r="F48" s="131">
        <f>3240000/1000000</f>
        <v>3.24</v>
      </c>
      <c r="G48" s="131"/>
      <c r="H48" s="131">
        <f>'BIEU 56'!D48</f>
        <v>240.478166</v>
      </c>
      <c r="I48" s="137">
        <f t="shared" si="1"/>
        <v>0.561834000000033</v>
      </c>
      <c r="J48" s="137"/>
      <c r="K48" s="137">
        <f t="shared" si="3"/>
        <v>0.561834000000033</v>
      </c>
      <c r="N48" s="507"/>
    </row>
    <row r="49" spans="1:14" s="125" customFormat="1" ht="15.75">
      <c r="A49" s="152">
        <v>33</v>
      </c>
      <c r="B49" s="123" t="s">
        <v>227</v>
      </c>
      <c r="C49" s="131">
        <f t="shared" si="2"/>
        <v>2185.529</v>
      </c>
      <c r="D49" s="131"/>
      <c r="E49" s="131">
        <f>2185529000/1000000</f>
        <v>2185.529</v>
      </c>
      <c r="F49" s="131">
        <f>0</f>
        <v>0</v>
      </c>
      <c r="G49" s="131"/>
      <c r="H49" s="131">
        <f>'BIEU 56'!D49</f>
        <v>2180.968</v>
      </c>
      <c r="I49" s="137">
        <f t="shared" si="1"/>
        <v>4.561000000000149</v>
      </c>
      <c r="J49" s="137"/>
      <c r="K49" s="137">
        <f t="shared" si="3"/>
        <v>4.561000000000149</v>
      </c>
      <c r="N49" s="507"/>
    </row>
    <row r="50" spans="1:14" s="125" customFormat="1" ht="15.75">
      <c r="A50" s="152">
        <v>34</v>
      </c>
      <c r="B50" s="123" t="s">
        <v>228</v>
      </c>
      <c r="C50" s="131">
        <f t="shared" si="2"/>
        <v>4779.875999999999</v>
      </c>
      <c r="D50" s="131"/>
      <c r="E50" s="131">
        <f>4144056000/1000000</f>
        <v>4144.056</v>
      </c>
      <c r="F50" s="131">
        <f>635820000/1000000</f>
        <v>635.82</v>
      </c>
      <c r="G50" s="131"/>
      <c r="H50" s="131">
        <f>'BIEU 56'!D50</f>
        <v>4779.876</v>
      </c>
      <c r="I50" s="137">
        <f t="shared" si="1"/>
        <v>0</v>
      </c>
      <c r="J50" s="137"/>
      <c r="K50" s="137">
        <f t="shared" si="3"/>
        <v>0</v>
      </c>
      <c r="N50" s="507"/>
    </row>
    <row r="51" spans="1:14" s="125" customFormat="1" ht="15.75">
      <c r="A51" s="152">
        <v>35</v>
      </c>
      <c r="B51" s="123" t="s">
        <v>229</v>
      </c>
      <c r="C51" s="131">
        <f t="shared" si="2"/>
        <v>750</v>
      </c>
      <c r="D51" s="131"/>
      <c r="E51" s="131">
        <f>750000000/1000000</f>
        <v>750</v>
      </c>
      <c r="F51" s="131">
        <f>0/1000000</f>
        <v>0</v>
      </c>
      <c r="G51" s="131"/>
      <c r="H51" s="131">
        <f>'BIEU 56'!D51</f>
        <v>750</v>
      </c>
      <c r="I51" s="137">
        <f t="shared" si="1"/>
        <v>0</v>
      </c>
      <c r="J51" s="137"/>
      <c r="K51" s="137">
        <f t="shared" si="3"/>
        <v>0</v>
      </c>
      <c r="N51" s="507"/>
    </row>
    <row r="52" spans="1:14" s="125" customFormat="1" ht="31.5">
      <c r="A52" s="152">
        <v>36</v>
      </c>
      <c r="B52" s="130" t="s">
        <v>230</v>
      </c>
      <c r="C52" s="131">
        <f t="shared" si="2"/>
        <v>6557.823</v>
      </c>
      <c r="D52" s="131"/>
      <c r="E52" s="131"/>
      <c r="F52" s="131">
        <f>6557823000/1000000</f>
        <v>6557.823</v>
      </c>
      <c r="G52" s="131"/>
      <c r="H52" s="131">
        <f>'BIEU 56'!D52</f>
        <v>6500.647000000001</v>
      </c>
      <c r="I52" s="137">
        <f t="shared" si="1"/>
        <v>57.175999999999476</v>
      </c>
      <c r="J52" s="137"/>
      <c r="K52" s="137">
        <f t="shared" si="3"/>
        <v>57.175999999999476</v>
      </c>
      <c r="N52" s="507"/>
    </row>
    <row r="53" spans="1:14" s="125" customFormat="1" ht="15.75">
      <c r="A53" s="118">
        <v>37</v>
      </c>
      <c r="B53" s="123" t="s">
        <v>244</v>
      </c>
      <c r="C53" s="131">
        <f t="shared" si="2"/>
        <v>555.753</v>
      </c>
      <c r="D53" s="131"/>
      <c r="E53" s="131"/>
      <c r="F53" s="131">
        <f>555753000/1000000</f>
        <v>555.753</v>
      </c>
      <c r="G53" s="131"/>
      <c r="H53" s="131">
        <f>'BIEU 56'!D57</f>
        <v>553.539</v>
      </c>
      <c r="I53" s="137">
        <f t="shared" si="1"/>
        <v>2.2140000000000555</v>
      </c>
      <c r="J53" s="137"/>
      <c r="K53" s="137">
        <f t="shared" si="3"/>
        <v>2.2140000000000555</v>
      </c>
      <c r="N53" s="507"/>
    </row>
    <row r="54" spans="1:14" s="125" customFormat="1" ht="15.75">
      <c r="A54" s="118">
        <v>38</v>
      </c>
      <c r="B54" s="161" t="s">
        <v>232</v>
      </c>
      <c r="C54" s="131">
        <f t="shared" si="2"/>
        <v>1314.389</v>
      </c>
      <c r="D54" s="131"/>
      <c r="E54" s="131"/>
      <c r="F54" s="131">
        <f>(1302809000+11580000)/1000000</f>
        <v>1314.389</v>
      </c>
      <c r="G54" s="131"/>
      <c r="H54" s="131">
        <f>'BIEU 56'!D58</f>
        <v>1314.089</v>
      </c>
      <c r="I54" s="135">
        <f t="shared" si="1"/>
        <v>0.2999999999999545</v>
      </c>
      <c r="J54" s="135"/>
      <c r="K54" s="135">
        <f t="shared" si="3"/>
        <v>0.2999999999999545</v>
      </c>
      <c r="N54" s="507"/>
    </row>
    <row r="55" spans="1:14" ht="15.75">
      <c r="A55" s="18"/>
      <c r="B55" s="18"/>
      <c r="N55" s="45"/>
    </row>
    <row r="56" spans="1:14" ht="15.75">
      <c r="A56" s="18"/>
      <c r="B56" s="18"/>
      <c r="N56" s="45"/>
    </row>
    <row r="57" spans="2:14" ht="15.75" hidden="1">
      <c r="B57" s="18"/>
      <c r="N57" s="45"/>
    </row>
    <row r="58" ht="15.75">
      <c r="N58" s="45"/>
    </row>
    <row r="59" ht="15.75">
      <c r="N59" s="45"/>
    </row>
    <row r="62" ht="15.75" hidden="1"/>
    <row r="63" spans="1:2" ht="25.5" customHeight="1" hidden="1">
      <c r="A63" s="18" t="s">
        <v>79</v>
      </c>
      <c r="B63" s="18"/>
    </row>
    <row r="64" spans="1:2" ht="15.75" hidden="1">
      <c r="A64" s="18"/>
      <c r="B64" s="18" t="s">
        <v>80</v>
      </c>
    </row>
    <row r="65" ht="15.75" hidden="1"/>
    <row r="67" ht="22.5" customHeight="1"/>
  </sheetData>
  <sheetProtection/>
  <mergeCells count="24">
    <mergeCell ref="A1:B1"/>
    <mergeCell ref="A2:B2"/>
    <mergeCell ref="A3:B3"/>
    <mergeCell ref="E1:K1"/>
    <mergeCell ref="E2:K2"/>
    <mergeCell ref="E3:K3"/>
    <mergeCell ref="A5:K5"/>
    <mergeCell ref="A9:K9"/>
    <mergeCell ref="I11:I14"/>
    <mergeCell ref="J11:K11"/>
    <mergeCell ref="E12:E14"/>
    <mergeCell ref="D12:D14"/>
    <mergeCell ref="D11:G11"/>
    <mergeCell ref="F12:F14"/>
    <mergeCell ref="G12:G14"/>
    <mergeCell ref="J12:J14"/>
    <mergeCell ref="K12:K14"/>
    <mergeCell ref="A11:A14"/>
    <mergeCell ref="B11:B14"/>
    <mergeCell ref="A6:K6"/>
    <mergeCell ref="A7:K7"/>
    <mergeCell ref="A8:K8"/>
    <mergeCell ref="C11:C14"/>
    <mergeCell ref="H11:H14"/>
  </mergeCells>
  <printOptions horizontalCentered="1"/>
  <pageMargins left="0.1968503937007874" right="0.2362204724409449" top="0.5905511811023623" bottom="0.4330708661417323" header="0.2755905511811024" footer="0.15748031496062992"/>
  <pageSetup fitToHeight="5" fitToWidth="1" horizontalDpi="600" verticalDpi="600" orientation="landscape" paperSize="9" r:id="rId1"/>
  <headerFooter alignWithMargins="0">
    <oddFooter>&amp;C&amp;".VnTime,Italic"&amp;8
&amp;P</oddFooter>
  </headerFooter>
</worksheet>
</file>

<file path=xl/worksheets/sheet11.xml><?xml version="1.0" encoding="utf-8"?>
<worksheet xmlns="http://schemas.openxmlformats.org/spreadsheetml/2006/main" xmlns:r="http://schemas.openxmlformats.org/officeDocument/2006/relationships">
  <sheetPr>
    <tabColor rgb="FF00B0F0"/>
    <pageSetUpPr fitToPage="1"/>
  </sheetPr>
  <dimension ref="A1:W62"/>
  <sheetViews>
    <sheetView zoomScale="85" zoomScaleNormal="85" workbookViewId="0" topLeftCell="A4">
      <selection activeCell="A1" sqref="A1:W5"/>
    </sheetView>
  </sheetViews>
  <sheetFormatPr defaultColWidth="8.796875" defaultRowHeight="15"/>
  <cols>
    <col min="1" max="1" width="4" style="3" customWidth="1"/>
    <col min="2" max="2" width="22.8984375" style="3" customWidth="1"/>
    <col min="3" max="3" width="8" style="3" customWidth="1"/>
    <col min="4" max="5" width="8.09765625" style="3" customWidth="1"/>
    <col min="6" max="7" width="6.5" style="3" customWidth="1"/>
    <col min="8" max="8" width="7.59765625" style="3" customWidth="1"/>
    <col min="9" max="9" width="9" style="3" customWidth="1"/>
    <col min="10" max="10" width="7.59765625" style="3" customWidth="1"/>
    <col min="11" max="11" width="7" style="3" customWidth="1"/>
    <col min="12" max="12" width="7.5" style="3" customWidth="1"/>
    <col min="13" max="16" width="7.59765625" style="3" customWidth="1"/>
    <col min="17" max="17" width="6.5" style="3" customWidth="1"/>
    <col min="18" max="18" width="6.69921875" style="3" customWidth="1"/>
    <col min="19" max="19" width="7" style="3" customWidth="1"/>
    <col min="20" max="20" width="7.19921875" style="3" customWidth="1"/>
    <col min="21" max="21" width="6.8984375" style="3" customWidth="1"/>
    <col min="22" max="22" width="8" style="3" customWidth="1"/>
    <col min="23" max="23" width="7.69921875" style="3" customWidth="1"/>
    <col min="24" max="16384" width="9" style="3" customWidth="1"/>
  </cols>
  <sheetData>
    <row r="1" spans="1:23" ht="16.5" customHeight="1">
      <c r="A1" s="832" t="s">
        <v>794</v>
      </c>
      <c r="B1" s="832"/>
      <c r="C1" s="832"/>
      <c r="D1" s="832"/>
      <c r="E1" s="835"/>
      <c r="F1" s="835"/>
      <c r="G1" s="835"/>
      <c r="H1" s="835"/>
      <c r="I1" s="835"/>
      <c r="J1" s="835"/>
      <c r="K1" s="832" t="s">
        <v>809</v>
      </c>
      <c r="L1" s="832"/>
      <c r="M1" s="832"/>
      <c r="N1" s="832"/>
      <c r="O1" s="832"/>
      <c r="P1" s="832"/>
      <c r="Q1" s="832"/>
      <c r="R1" s="832"/>
      <c r="S1" s="832"/>
      <c r="T1" s="832"/>
      <c r="U1" s="832"/>
      <c r="V1" s="832"/>
      <c r="W1" s="832"/>
    </row>
    <row r="2" spans="1:23" ht="16.5">
      <c r="A2" s="833" t="s">
        <v>260</v>
      </c>
      <c r="B2" s="833"/>
      <c r="C2" s="833"/>
      <c r="D2" s="833"/>
      <c r="E2" s="836"/>
      <c r="F2" s="836"/>
      <c r="G2" s="836"/>
      <c r="H2" s="836"/>
      <c r="I2" s="836"/>
      <c r="J2" s="836"/>
      <c r="K2" s="834" t="s">
        <v>810</v>
      </c>
      <c r="L2" s="834"/>
      <c r="M2" s="834"/>
      <c r="N2" s="834"/>
      <c r="O2" s="834"/>
      <c r="P2" s="834"/>
      <c r="Q2" s="834"/>
      <c r="R2" s="834"/>
      <c r="S2" s="834"/>
      <c r="T2" s="834"/>
      <c r="U2" s="834"/>
      <c r="V2" s="834"/>
      <c r="W2" s="834"/>
    </row>
    <row r="3" spans="1:23" ht="15.75">
      <c r="A3" s="810" t="s">
        <v>811</v>
      </c>
      <c r="B3" s="810"/>
      <c r="C3" s="810"/>
      <c r="D3" s="810"/>
      <c r="E3" s="831"/>
      <c r="F3" s="831"/>
      <c r="G3" s="831"/>
      <c r="H3" s="831"/>
      <c r="I3" s="831"/>
      <c r="J3" s="831"/>
      <c r="K3" s="821" t="s">
        <v>802</v>
      </c>
      <c r="L3" s="821"/>
      <c r="M3" s="821"/>
      <c r="N3" s="821"/>
      <c r="O3" s="821"/>
      <c r="P3" s="821"/>
      <c r="Q3" s="821"/>
      <c r="R3" s="821"/>
      <c r="S3" s="821"/>
      <c r="T3" s="821"/>
      <c r="U3" s="821"/>
      <c r="V3" s="821"/>
      <c r="W3" s="821"/>
    </row>
    <row r="4" spans="1:23" ht="15.75" customHeight="1">
      <c r="A4" s="818"/>
      <c r="B4" s="692"/>
      <c r="C4" s="823"/>
      <c r="D4" s="824"/>
      <c r="E4" s="824"/>
      <c r="F4" s="824"/>
      <c r="G4" s="824"/>
      <c r="H4" s="824"/>
      <c r="I4" s="126"/>
      <c r="J4" s="126"/>
      <c r="K4" s="126"/>
      <c r="L4" s="2"/>
      <c r="M4" s="2"/>
      <c r="N4" s="2"/>
      <c r="O4" s="733"/>
      <c r="P4" s="733"/>
      <c r="Q4" s="733"/>
      <c r="R4" s="733"/>
      <c r="S4" s="733"/>
      <c r="T4" s="733"/>
      <c r="U4" s="733"/>
      <c r="V4" s="733"/>
      <c r="W4" s="733"/>
    </row>
    <row r="5" spans="1:23" ht="18.75">
      <c r="A5" s="825" t="s">
        <v>830</v>
      </c>
      <c r="B5" s="825"/>
      <c r="C5" s="825"/>
      <c r="D5" s="825"/>
      <c r="E5" s="825"/>
      <c r="F5" s="825"/>
      <c r="G5" s="825"/>
      <c r="H5" s="825"/>
      <c r="I5" s="825"/>
      <c r="J5" s="825"/>
      <c r="K5" s="825"/>
      <c r="L5" s="825"/>
      <c r="M5" s="825"/>
      <c r="N5" s="825"/>
      <c r="O5" s="825"/>
      <c r="P5" s="825"/>
      <c r="Q5" s="825"/>
      <c r="R5" s="825"/>
      <c r="S5" s="825"/>
      <c r="T5" s="825"/>
      <c r="U5" s="825"/>
      <c r="V5" s="825"/>
      <c r="W5" s="825"/>
    </row>
    <row r="6" spans="1:23" ht="18.75">
      <c r="A6" s="727" t="s">
        <v>476</v>
      </c>
      <c r="B6" s="727"/>
      <c r="C6" s="727"/>
      <c r="D6" s="727"/>
      <c r="E6" s="727"/>
      <c r="F6" s="727"/>
      <c r="G6" s="727"/>
      <c r="H6" s="727"/>
      <c r="I6" s="727"/>
      <c r="J6" s="727"/>
      <c r="K6" s="727"/>
      <c r="L6" s="727"/>
      <c r="M6" s="727"/>
      <c r="N6" s="727"/>
      <c r="O6" s="727"/>
      <c r="P6" s="727"/>
      <c r="Q6" s="727"/>
      <c r="R6" s="727"/>
      <c r="S6" s="727"/>
      <c r="T6" s="727"/>
      <c r="U6" s="727"/>
      <c r="V6" s="727"/>
      <c r="W6" s="727"/>
    </row>
    <row r="7" spans="1:23" ht="21" customHeight="1">
      <c r="A7" s="847" t="s">
        <v>800</v>
      </c>
      <c r="B7" s="847"/>
      <c r="C7" s="847"/>
      <c r="D7" s="847"/>
      <c r="E7" s="847"/>
      <c r="F7" s="847"/>
      <c r="G7" s="847"/>
      <c r="H7" s="847"/>
      <c r="I7" s="847"/>
      <c r="J7" s="847"/>
      <c r="K7" s="847"/>
      <c r="L7" s="847"/>
      <c r="M7" s="847"/>
      <c r="N7" s="847"/>
      <c r="O7" s="847"/>
      <c r="P7" s="847"/>
      <c r="Q7" s="847"/>
      <c r="R7" s="847"/>
      <c r="S7" s="847"/>
      <c r="T7" s="847"/>
      <c r="U7" s="847"/>
      <c r="V7" s="847"/>
      <c r="W7" s="847"/>
    </row>
    <row r="8" spans="1:23" ht="12.75" customHeight="1" hidden="1">
      <c r="A8" s="1"/>
      <c r="B8" s="4"/>
      <c r="C8" s="2"/>
      <c r="D8" s="2"/>
      <c r="E8" s="2"/>
      <c r="F8" s="2"/>
      <c r="G8" s="2"/>
      <c r="H8" s="2"/>
      <c r="I8" s="2"/>
      <c r="J8" s="2"/>
      <c r="K8" s="2"/>
      <c r="L8" s="2"/>
      <c r="M8" s="2"/>
      <c r="N8" s="2"/>
      <c r="O8" s="2"/>
      <c r="P8" s="2"/>
      <c r="Q8" s="2"/>
      <c r="R8" s="2"/>
      <c r="S8" s="2"/>
      <c r="T8" s="2"/>
      <c r="U8" s="2"/>
      <c r="V8" s="2"/>
      <c r="W8" s="2"/>
    </row>
    <row r="9" spans="1:23" ht="14.25" customHeight="1" hidden="1">
      <c r="A9" s="4"/>
      <c r="B9" s="4"/>
      <c r="C9" s="2"/>
      <c r="D9" s="2"/>
      <c r="E9" s="2"/>
      <c r="F9" s="2"/>
      <c r="G9" s="2"/>
      <c r="H9" s="2"/>
      <c r="I9" s="2"/>
      <c r="J9" s="2"/>
      <c r="K9" s="2"/>
      <c r="L9" s="2"/>
      <c r="M9" s="2"/>
      <c r="N9" s="2"/>
      <c r="O9" s="2"/>
      <c r="P9" s="2"/>
      <c r="Q9" s="2"/>
      <c r="R9" s="2"/>
      <c r="S9" s="2"/>
      <c r="T9" s="2"/>
      <c r="U9" s="2"/>
      <c r="V9" s="2"/>
      <c r="W9" s="2"/>
    </row>
    <row r="10" spans="1:23" ht="14.25" customHeight="1">
      <c r="A10" s="846" t="s">
        <v>803</v>
      </c>
      <c r="B10" s="846"/>
      <c r="C10" s="846"/>
      <c r="D10" s="846"/>
      <c r="E10" s="846"/>
      <c r="F10" s="846"/>
      <c r="G10" s="846"/>
      <c r="H10" s="846"/>
      <c r="I10" s="846"/>
      <c r="J10" s="846"/>
      <c r="K10" s="846"/>
      <c r="L10" s="846"/>
      <c r="M10" s="846"/>
      <c r="N10" s="846"/>
      <c r="O10" s="846"/>
      <c r="P10" s="846"/>
      <c r="Q10" s="846"/>
      <c r="R10" s="846"/>
      <c r="S10" s="846"/>
      <c r="T10" s="846"/>
      <c r="U10" s="846"/>
      <c r="V10" s="846"/>
      <c r="W10" s="846"/>
    </row>
    <row r="11" spans="1:23" ht="19.5" customHeight="1">
      <c r="A11" s="5"/>
      <c r="B11" s="5"/>
      <c r="Q11" s="712" t="s">
        <v>0</v>
      </c>
      <c r="R11" s="712"/>
      <c r="S11" s="712"/>
      <c r="T11" s="712"/>
      <c r="U11" s="712"/>
      <c r="V11" s="712"/>
      <c r="W11" s="712"/>
    </row>
    <row r="12" spans="1:23" ht="21" customHeight="1">
      <c r="A12" s="710" t="s">
        <v>132</v>
      </c>
      <c r="B12" s="710" t="s">
        <v>107</v>
      </c>
      <c r="C12" s="721" t="s">
        <v>105</v>
      </c>
      <c r="D12" s="722"/>
      <c r="E12" s="722"/>
      <c r="F12" s="722"/>
      <c r="G12" s="723"/>
      <c r="H12" s="710" t="s">
        <v>3</v>
      </c>
      <c r="I12" s="710"/>
      <c r="J12" s="710"/>
      <c r="K12" s="710"/>
      <c r="L12" s="710"/>
      <c r="M12" s="710"/>
      <c r="N12" s="710"/>
      <c r="O12" s="710"/>
      <c r="P12" s="710"/>
      <c r="Q12" s="710"/>
      <c r="R12" s="710"/>
      <c r="S12" s="710"/>
      <c r="T12" s="710"/>
      <c r="U12" s="710" t="s">
        <v>4</v>
      </c>
      <c r="V12" s="710"/>
      <c r="W12" s="710"/>
    </row>
    <row r="13" spans="1:23" s="125" customFormat="1" ht="24" customHeight="1">
      <c r="A13" s="710"/>
      <c r="B13" s="711"/>
      <c r="C13" s="710" t="s">
        <v>63</v>
      </c>
      <c r="D13" s="708" t="s">
        <v>178</v>
      </c>
      <c r="E13" s="708" t="s">
        <v>26</v>
      </c>
      <c r="F13" s="708" t="s">
        <v>444</v>
      </c>
      <c r="G13" s="714" t="s">
        <v>629</v>
      </c>
      <c r="H13" s="714" t="s">
        <v>63</v>
      </c>
      <c r="I13" s="708" t="s">
        <v>68</v>
      </c>
      <c r="J13" s="708"/>
      <c r="K13" s="708"/>
      <c r="L13" s="708"/>
      <c r="M13" s="717" t="s">
        <v>26</v>
      </c>
      <c r="N13" s="718"/>
      <c r="O13" s="718"/>
      <c r="P13" s="718"/>
      <c r="Q13" s="710" t="s">
        <v>106</v>
      </c>
      <c r="R13" s="710"/>
      <c r="S13" s="710"/>
      <c r="T13" s="714" t="s">
        <v>445</v>
      </c>
      <c r="U13" s="714" t="s">
        <v>63</v>
      </c>
      <c r="V13" s="714" t="s">
        <v>68</v>
      </c>
      <c r="W13" s="708" t="s">
        <v>26</v>
      </c>
    </row>
    <row r="14" spans="1:23" s="125" customFormat="1" ht="21" customHeight="1">
      <c r="A14" s="710"/>
      <c r="B14" s="711"/>
      <c r="C14" s="710"/>
      <c r="D14" s="708"/>
      <c r="E14" s="708"/>
      <c r="F14" s="708"/>
      <c r="G14" s="715"/>
      <c r="H14" s="715"/>
      <c r="I14" s="714" t="s">
        <v>63</v>
      </c>
      <c r="J14" s="721" t="s">
        <v>90</v>
      </c>
      <c r="K14" s="722"/>
      <c r="L14" s="722"/>
      <c r="M14" s="721" t="s">
        <v>90</v>
      </c>
      <c r="N14" s="722"/>
      <c r="O14" s="722"/>
      <c r="P14" s="722"/>
      <c r="Q14" s="721" t="s">
        <v>90</v>
      </c>
      <c r="R14" s="722"/>
      <c r="S14" s="723"/>
      <c r="T14" s="715"/>
      <c r="U14" s="715"/>
      <c r="V14" s="715"/>
      <c r="W14" s="708"/>
    </row>
    <row r="15" spans="1:23" ht="21" customHeight="1">
      <c r="A15" s="710"/>
      <c r="B15" s="711"/>
      <c r="C15" s="710"/>
      <c r="D15" s="708"/>
      <c r="E15" s="708"/>
      <c r="F15" s="708"/>
      <c r="G15" s="715"/>
      <c r="H15" s="715"/>
      <c r="I15" s="715"/>
      <c r="J15" s="708" t="s">
        <v>463</v>
      </c>
      <c r="K15" s="714" t="s">
        <v>464</v>
      </c>
      <c r="L15" s="714" t="s">
        <v>446</v>
      </c>
      <c r="M15" s="714" t="s">
        <v>63</v>
      </c>
      <c r="N15" s="708" t="s">
        <v>463</v>
      </c>
      <c r="O15" s="714" t="s">
        <v>464</v>
      </c>
      <c r="P15" s="714" t="s">
        <v>446</v>
      </c>
      <c r="Q15" s="714" t="s">
        <v>63</v>
      </c>
      <c r="R15" s="714" t="s">
        <v>68</v>
      </c>
      <c r="S15" s="714" t="s">
        <v>26</v>
      </c>
      <c r="T15" s="715"/>
      <c r="U15" s="715"/>
      <c r="V15" s="715"/>
      <c r="W15" s="708"/>
    </row>
    <row r="16" spans="1:23" ht="14.25" customHeight="1">
      <c r="A16" s="710"/>
      <c r="B16" s="711"/>
      <c r="C16" s="710"/>
      <c r="D16" s="708"/>
      <c r="E16" s="708"/>
      <c r="F16" s="708"/>
      <c r="G16" s="715"/>
      <c r="H16" s="715"/>
      <c r="I16" s="715"/>
      <c r="J16" s="708"/>
      <c r="K16" s="715"/>
      <c r="L16" s="715"/>
      <c r="M16" s="715"/>
      <c r="N16" s="708"/>
      <c r="O16" s="715"/>
      <c r="P16" s="715"/>
      <c r="Q16" s="715"/>
      <c r="R16" s="715"/>
      <c r="S16" s="715"/>
      <c r="T16" s="715"/>
      <c r="U16" s="715"/>
      <c r="V16" s="715"/>
      <c r="W16" s="708"/>
    </row>
    <row r="17" spans="1:23" ht="21" customHeight="1">
      <c r="A17" s="710"/>
      <c r="B17" s="711"/>
      <c r="C17" s="710"/>
      <c r="D17" s="708"/>
      <c r="E17" s="708"/>
      <c r="F17" s="708"/>
      <c r="G17" s="715"/>
      <c r="H17" s="715"/>
      <c r="I17" s="715"/>
      <c r="J17" s="708"/>
      <c r="K17" s="715"/>
      <c r="L17" s="715"/>
      <c r="M17" s="715"/>
      <c r="N17" s="708"/>
      <c r="O17" s="715"/>
      <c r="P17" s="715"/>
      <c r="Q17" s="715"/>
      <c r="R17" s="715"/>
      <c r="S17" s="715"/>
      <c r="T17" s="715"/>
      <c r="U17" s="715"/>
      <c r="V17" s="715"/>
      <c r="W17" s="708"/>
    </row>
    <row r="18" spans="1:23" ht="21" customHeight="1">
      <c r="A18" s="710"/>
      <c r="B18" s="711"/>
      <c r="C18" s="710"/>
      <c r="D18" s="708"/>
      <c r="E18" s="708"/>
      <c r="F18" s="708"/>
      <c r="G18" s="715"/>
      <c r="H18" s="715"/>
      <c r="I18" s="715"/>
      <c r="J18" s="708"/>
      <c r="K18" s="715"/>
      <c r="L18" s="715"/>
      <c r="M18" s="715"/>
      <c r="N18" s="708"/>
      <c r="O18" s="715"/>
      <c r="P18" s="715"/>
      <c r="Q18" s="715"/>
      <c r="R18" s="715"/>
      <c r="S18" s="715"/>
      <c r="T18" s="715"/>
      <c r="U18" s="715"/>
      <c r="V18" s="715"/>
      <c r="W18" s="708"/>
    </row>
    <row r="19" spans="1:23" ht="18" customHeight="1">
      <c r="A19" s="710"/>
      <c r="B19" s="711"/>
      <c r="C19" s="710"/>
      <c r="D19" s="708"/>
      <c r="E19" s="708"/>
      <c r="F19" s="708"/>
      <c r="G19" s="715"/>
      <c r="H19" s="715"/>
      <c r="I19" s="715"/>
      <c r="J19" s="708"/>
      <c r="K19" s="715"/>
      <c r="L19" s="715"/>
      <c r="M19" s="715"/>
      <c r="N19" s="708"/>
      <c r="O19" s="715"/>
      <c r="P19" s="715"/>
      <c r="Q19" s="715"/>
      <c r="R19" s="715"/>
      <c r="S19" s="715"/>
      <c r="T19" s="715"/>
      <c r="U19" s="715"/>
      <c r="V19" s="715"/>
      <c r="W19" s="708"/>
    </row>
    <row r="20" spans="1:23" ht="12.75" customHeight="1">
      <c r="A20" s="710"/>
      <c r="B20" s="711"/>
      <c r="C20" s="710"/>
      <c r="D20" s="708"/>
      <c r="E20" s="708"/>
      <c r="F20" s="708"/>
      <c r="G20" s="715"/>
      <c r="H20" s="715"/>
      <c r="I20" s="715"/>
      <c r="J20" s="708"/>
      <c r="K20" s="715"/>
      <c r="L20" s="715"/>
      <c r="M20" s="715"/>
      <c r="N20" s="708"/>
      <c r="O20" s="715"/>
      <c r="P20" s="715"/>
      <c r="Q20" s="715"/>
      <c r="R20" s="715"/>
      <c r="S20" s="715"/>
      <c r="T20" s="715"/>
      <c r="U20" s="715"/>
      <c r="V20" s="715"/>
      <c r="W20" s="708"/>
    </row>
    <row r="21" spans="1:23" ht="9" customHeight="1">
      <c r="A21" s="710"/>
      <c r="B21" s="711"/>
      <c r="C21" s="710"/>
      <c r="D21" s="708"/>
      <c r="E21" s="708"/>
      <c r="F21" s="708"/>
      <c r="G21" s="716"/>
      <c r="H21" s="716"/>
      <c r="I21" s="716"/>
      <c r="J21" s="708"/>
      <c r="K21" s="716"/>
      <c r="L21" s="716"/>
      <c r="M21" s="716"/>
      <c r="N21" s="708"/>
      <c r="O21" s="716"/>
      <c r="P21" s="716"/>
      <c r="Q21" s="716"/>
      <c r="R21" s="716"/>
      <c r="S21" s="716"/>
      <c r="T21" s="716"/>
      <c r="U21" s="716"/>
      <c r="V21" s="716"/>
      <c r="W21" s="708"/>
    </row>
    <row r="22" spans="1:23" s="9" customFormat="1" ht="17.25" customHeight="1">
      <c r="A22" s="8" t="s">
        <v>5</v>
      </c>
      <c r="B22" s="8" t="s">
        <v>6</v>
      </c>
      <c r="C22" s="8">
        <v>1</v>
      </c>
      <c r="D22" s="8">
        <f>C22+1</f>
        <v>2</v>
      </c>
      <c r="E22" s="8">
        <f>D22+1</f>
        <v>3</v>
      </c>
      <c r="F22" s="8">
        <v>4</v>
      </c>
      <c r="G22" s="8"/>
      <c r="H22" s="8">
        <f>F22+1</f>
        <v>5</v>
      </c>
      <c r="I22" s="8">
        <f>H22+1</f>
        <v>6</v>
      </c>
      <c r="J22" s="8">
        <f>I22+1</f>
        <v>7</v>
      </c>
      <c r="K22" s="8">
        <f>J22+1</f>
        <v>8</v>
      </c>
      <c r="L22" s="8">
        <f>K22+1</f>
        <v>9</v>
      </c>
      <c r="M22" s="8">
        <f>L22+1</f>
        <v>10</v>
      </c>
      <c r="N22" s="8">
        <f aca="true" t="shared" si="0" ref="N22:T22">M22+1</f>
        <v>11</v>
      </c>
      <c r="O22" s="8">
        <f t="shared" si="0"/>
        <v>12</v>
      </c>
      <c r="P22" s="8">
        <f t="shared" si="0"/>
        <v>13</v>
      </c>
      <c r="Q22" s="8">
        <f t="shared" si="0"/>
        <v>14</v>
      </c>
      <c r="R22" s="8">
        <f t="shared" si="0"/>
        <v>15</v>
      </c>
      <c r="S22" s="8">
        <f t="shared" si="0"/>
        <v>16</v>
      </c>
      <c r="T22" s="8">
        <f t="shared" si="0"/>
        <v>17</v>
      </c>
      <c r="U22" s="8" t="s">
        <v>465</v>
      </c>
      <c r="V22" s="8" t="s">
        <v>466</v>
      </c>
      <c r="W22" s="8" t="s">
        <v>467</v>
      </c>
    </row>
    <row r="23" spans="1:23" s="369" customFormat="1" ht="20.25" customHeight="1">
      <c r="A23" s="363"/>
      <c r="B23" s="363" t="s">
        <v>70</v>
      </c>
      <c r="C23" s="132">
        <f>C24+C26</f>
        <v>448668.673</v>
      </c>
      <c r="D23" s="132">
        <f>D24+D26</f>
        <v>130401</v>
      </c>
      <c r="E23" s="132">
        <f aca="true" t="shared" si="1" ref="E23:T23">E24+E26</f>
        <v>310533.165</v>
      </c>
      <c r="F23" s="132">
        <f t="shared" si="1"/>
        <v>7559.508</v>
      </c>
      <c r="G23" s="132">
        <f t="shared" si="1"/>
        <v>175</v>
      </c>
      <c r="H23" s="132">
        <f t="shared" si="1"/>
        <v>600255.026426</v>
      </c>
      <c r="I23" s="132">
        <f t="shared" si="1"/>
        <v>127400.99500000001</v>
      </c>
      <c r="J23" s="132">
        <f aca="true" t="shared" si="2" ref="J23:P23">J24+J26</f>
        <v>9910.065</v>
      </c>
      <c r="K23" s="132">
        <f t="shared" si="2"/>
        <v>0</v>
      </c>
      <c r="L23" s="132">
        <f t="shared" si="2"/>
        <v>117490.93000000001</v>
      </c>
      <c r="M23" s="132">
        <f t="shared" si="2"/>
        <v>432449.167923</v>
      </c>
      <c r="N23" s="132">
        <f t="shared" si="2"/>
        <v>136241.590152</v>
      </c>
      <c r="O23" s="132">
        <f t="shared" si="2"/>
        <v>114.644</v>
      </c>
      <c r="P23" s="132">
        <f t="shared" si="2"/>
        <v>296092.933771</v>
      </c>
      <c r="Q23" s="132">
        <f t="shared" si="1"/>
        <v>533.7592999999999</v>
      </c>
      <c r="R23" s="132">
        <f t="shared" si="1"/>
        <v>0</v>
      </c>
      <c r="S23" s="132">
        <f t="shared" si="1"/>
        <v>533.7592999999999</v>
      </c>
      <c r="T23" s="132">
        <f t="shared" si="1"/>
        <v>39871.104202999995</v>
      </c>
      <c r="U23" s="132">
        <f>H23/C23*100</f>
        <v>133.78581179123242</v>
      </c>
      <c r="V23" s="132">
        <f>I23/D23*100</f>
        <v>97.69940031134732</v>
      </c>
      <c r="W23" s="132">
        <f aca="true" t="shared" si="3" ref="W23:W35">M23/E23*100</f>
        <v>139.2602197330517</v>
      </c>
    </row>
    <row r="24" spans="1:23" s="9" customFormat="1" ht="32.25" customHeight="1">
      <c r="A24" s="8" t="s">
        <v>14</v>
      </c>
      <c r="B24" s="113" t="s">
        <v>461</v>
      </c>
      <c r="C24" s="133">
        <f aca="true" t="shared" si="4" ref="C24:T24">C25</f>
        <v>395120</v>
      </c>
      <c r="D24" s="133">
        <f t="shared" si="4"/>
        <v>123800</v>
      </c>
      <c r="E24" s="133">
        <f t="shared" si="4"/>
        <v>264312</v>
      </c>
      <c r="F24" s="133">
        <f t="shared" si="4"/>
        <v>6833</v>
      </c>
      <c r="G24" s="133">
        <f t="shared" si="4"/>
        <v>175</v>
      </c>
      <c r="H24" s="133">
        <f t="shared" si="4"/>
        <v>519770.21527</v>
      </c>
      <c r="I24" s="133">
        <f t="shared" si="4"/>
        <v>122247.85</v>
      </c>
      <c r="J24" s="133">
        <f t="shared" si="4"/>
        <v>9910.065</v>
      </c>
      <c r="K24" s="133">
        <f>K25</f>
        <v>0</v>
      </c>
      <c r="L24" s="133">
        <f t="shared" si="4"/>
        <v>112337.785</v>
      </c>
      <c r="M24" s="133">
        <f t="shared" si="4"/>
        <v>361549.109775</v>
      </c>
      <c r="N24" s="133">
        <f t="shared" si="4"/>
        <v>135001.790152</v>
      </c>
      <c r="O24" s="133">
        <f t="shared" si="4"/>
        <v>114.644</v>
      </c>
      <c r="P24" s="133">
        <f t="shared" si="4"/>
        <v>226432.675623</v>
      </c>
      <c r="Q24" s="133">
        <f t="shared" si="4"/>
        <v>240.5953</v>
      </c>
      <c r="R24" s="133">
        <f t="shared" si="4"/>
        <v>0</v>
      </c>
      <c r="S24" s="133">
        <f t="shared" si="4"/>
        <v>240.5953</v>
      </c>
      <c r="T24" s="133">
        <f t="shared" si="4"/>
        <v>35732.660195</v>
      </c>
      <c r="U24" s="133">
        <f aca="true" t="shared" si="5" ref="U24:U35">H24/C24*100</f>
        <v>131.5474324939259</v>
      </c>
      <c r="V24" s="133">
        <f aca="true" t="shared" si="6" ref="V24:V34">I24/D24*100</f>
        <v>98.74624394184168</v>
      </c>
      <c r="W24" s="133">
        <f t="shared" si="3"/>
        <v>136.78876092458913</v>
      </c>
    </row>
    <row r="25" spans="1:23" s="125" customFormat="1" ht="23.25" customHeight="1">
      <c r="A25" s="118"/>
      <c r="B25" s="372" t="s">
        <v>458</v>
      </c>
      <c r="C25" s="131">
        <f>D25+E25+F25+G25</f>
        <v>395120</v>
      </c>
      <c r="D25" s="131">
        <v>123800</v>
      </c>
      <c r="E25" s="131">
        <v>264312</v>
      </c>
      <c r="F25" s="373">
        <v>6833</v>
      </c>
      <c r="G25" s="373">
        <v>175</v>
      </c>
      <c r="H25" s="131">
        <f>I25+M25+Q25+T25</f>
        <v>519770.21527</v>
      </c>
      <c r="I25" s="131">
        <f>L25+K25+J25</f>
        <v>122247.85</v>
      </c>
      <c r="J25" s="131">
        <f>9910065000/1000000</f>
        <v>9910.065</v>
      </c>
      <c r="K25" s="131">
        <v>0</v>
      </c>
      <c r="L25" s="131">
        <f>112337785/1000</f>
        <v>112337.785</v>
      </c>
      <c r="M25" s="131">
        <f>P25+O25+N25</f>
        <v>361549.109775</v>
      </c>
      <c r="N25" s="131">
        <f>135001790152/1000000</f>
        <v>135001.790152</v>
      </c>
      <c r="O25" s="131">
        <f>114644000/1000000</f>
        <v>114.644</v>
      </c>
      <c r="P25" s="131">
        <f>226432675623/1000000</f>
        <v>226432.675623</v>
      </c>
      <c r="Q25" s="137">
        <f>R25+S25</f>
        <v>240.5953</v>
      </c>
      <c r="R25" s="135">
        <v>0</v>
      </c>
      <c r="S25" s="137">
        <f>240595300/1000000</f>
        <v>240.5953</v>
      </c>
      <c r="T25" s="131">
        <f>35732660195/1000000</f>
        <v>35732.660195</v>
      </c>
      <c r="U25" s="131">
        <f t="shared" si="5"/>
        <v>131.5474324939259</v>
      </c>
      <c r="V25" s="131">
        <f t="shared" si="6"/>
        <v>98.74624394184168</v>
      </c>
      <c r="W25" s="131">
        <f t="shared" si="3"/>
        <v>136.78876092458913</v>
      </c>
    </row>
    <row r="26" spans="1:23" s="9" customFormat="1" ht="33.75" customHeight="1">
      <c r="A26" s="8" t="s">
        <v>25</v>
      </c>
      <c r="B26" s="113" t="s">
        <v>462</v>
      </c>
      <c r="C26" s="133">
        <f aca="true" t="shared" si="7" ref="C26:T26">SUM(C27:C35)</f>
        <v>53548.673</v>
      </c>
      <c r="D26" s="133">
        <f>SUM(D27:D35)</f>
        <v>6601</v>
      </c>
      <c r="E26" s="133">
        <f t="shared" si="7"/>
        <v>46221.16499999999</v>
      </c>
      <c r="F26" s="359">
        <f t="shared" si="7"/>
        <v>726.508</v>
      </c>
      <c r="G26" s="133">
        <f>SUM(G27:G35)</f>
        <v>0</v>
      </c>
      <c r="H26" s="133">
        <f t="shared" si="7"/>
        <v>80484.81115600001</v>
      </c>
      <c r="I26" s="133">
        <f t="shared" si="7"/>
        <v>5153.1449999999995</v>
      </c>
      <c r="J26" s="359">
        <f t="shared" si="7"/>
        <v>0</v>
      </c>
      <c r="K26" s="359">
        <f t="shared" si="7"/>
        <v>0</v>
      </c>
      <c r="L26" s="359">
        <f t="shared" si="7"/>
        <v>5153.1449999999995</v>
      </c>
      <c r="M26" s="133">
        <f t="shared" si="7"/>
        <v>70900.058148</v>
      </c>
      <c r="N26" s="133">
        <f t="shared" si="7"/>
        <v>1239.8</v>
      </c>
      <c r="O26" s="133">
        <f t="shared" si="7"/>
        <v>0</v>
      </c>
      <c r="P26" s="133">
        <f t="shared" si="7"/>
        <v>69660.25814800001</v>
      </c>
      <c r="Q26" s="359">
        <f t="shared" si="7"/>
        <v>293.164</v>
      </c>
      <c r="R26" s="142">
        <f t="shared" si="7"/>
        <v>0</v>
      </c>
      <c r="S26" s="359">
        <f>SUM(S27:S35)</f>
        <v>293.164</v>
      </c>
      <c r="T26" s="133">
        <f t="shared" si="7"/>
        <v>4138.4440079999995</v>
      </c>
      <c r="U26" s="133">
        <f>H26/C26*100</f>
        <v>150.3021581057667</v>
      </c>
      <c r="V26" s="133">
        <f>I26/D26*100</f>
        <v>78.06612634449324</v>
      </c>
      <c r="W26" s="133">
        <f t="shared" si="3"/>
        <v>153.39305737533877</v>
      </c>
    </row>
    <row r="27" spans="1:23" ht="15.75">
      <c r="A27" s="107">
        <v>1</v>
      </c>
      <c r="B27" s="108" t="s">
        <v>250</v>
      </c>
      <c r="C27" s="110">
        <f>D27+E27+F27</f>
        <v>6108</v>
      </c>
      <c r="D27" s="110">
        <f>0/1000</f>
        <v>0</v>
      </c>
      <c r="E27" s="110">
        <f>6015449/1000</f>
        <v>6015.449</v>
      </c>
      <c r="F27" s="110">
        <f>92551/1000</f>
        <v>92.551</v>
      </c>
      <c r="G27" s="110"/>
      <c r="H27" s="131">
        <f>I27+M27+T27+Q27</f>
        <v>9943.495277999999</v>
      </c>
      <c r="I27" s="131">
        <f>L27+K27+J27</f>
        <v>0</v>
      </c>
      <c r="J27" s="110"/>
      <c r="K27" s="110"/>
      <c r="L27" s="110"/>
      <c r="M27" s="110">
        <f>P27+O27+N27</f>
        <v>9281.07246</v>
      </c>
      <c r="N27" s="110">
        <f>122900/1000</f>
        <v>122.9</v>
      </c>
      <c r="O27" s="110"/>
      <c r="P27" s="110">
        <f>(9158172460)/1000000</f>
        <v>9158.17246</v>
      </c>
      <c r="Q27" s="137">
        <f>R27+S27</f>
        <v>0</v>
      </c>
      <c r="R27" s="110"/>
      <c r="S27" s="110"/>
      <c r="T27" s="110">
        <f>662422818/1000000</f>
        <v>662.422818</v>
      </c>
      <c r="U27" s="110">
        <f t="shared" si="5"/>
        <v>162.794618172888</v>
      </c>
      <c r="V27" s="110"/>
      <c r="W27" s="110">
        <f t="shared" si="3"/>
        <v>154.28727697633212</v>
      </c>
    </row>
    <row r="28" spans="1:23" ht="15.75">
      <c r="A28" s="107">
        <f>A27+1</f>
        <v>2</v>
      </c>
      <c r="B28" s="108" t="s">
        <v>251</v>
      </c>
      <c r="C28" s="110">
        <f aca="true" t="shared" si="8" ref="C28:C35">D28+E28+F28</f>
        <v>6340.673000000001</v>
      </c>
      <c r="D28" s="110">
        <v>691</v>
      </c>
      <c r="E28" s="110">
        <f>5563595/1000</f>
        <v>5563.595</v>
      </c>
      <c r="F28" s="110">
        <f>86078/1000</f>
        <v>86.078</v>
      </c>
      <c r="G28" s="110"/>
      <c r="H28" s="131">
        <f aca="true" t="shared" si="9" ref="H28:H34">I28+M28+T28+Q28</f>
        <v>9220.608854</v>
      </c>
      <c r="I28" s="131">
        <f aca="true" t="shared" si="10" ref="I28:I33">L28+K28+J28</f>
        <v>569.436</v>
      </c>
      <c r="J28" s="110"/>
      <c r="K28" s="110"/>
      <c r="L28" s="110">
        <f>569436000/1000000</f>
        <v>569.436</v>
      </c>
      <c r="M28" s="110">
        <f aca="true" t="shared" si="11" ref="M28:M35">P28+O28+N28</f>
        <v>8167.678754</v>
      </c>
      <c r="N28" s="110">
        <f>122400/1000</f>
        <v>122.4</v>
      </c>
      <c r="O28" s="110"/>
      <c r="P28" s="110">
        <f>(8045278754)/1000000</f>
        <v>8045.278754</v>
      </c>
      <c r="Q28" s="137">
        <f aca="true" t="shared" si="12" ref="Q28:Q35">R28+S28</f>
        <v>0</v>
      </c>
      <c r="R28" s="110"/>
      <c r="S28" s="110"/>
      <c r="T28" s="110">
        <f>483494100/1000000</f>
        <v>483.4941</v>
      </c>
      <c r="U28" s="110">
        <f t="shared" si="5"/>
        <v>145.4200343402033</v>
      </c>
      <c r="V28" s="110">
        <f>I28/D28*100</f>
        <v>82.40752532561505</v>
      </c>
      <c r="W28" s="110">
        <f t="shared" si="3"/>
        <v>146.80577493509142</v>
      </c>
    </row>
    <row r="29" spans="1:23" ht="15.75">
      <c r="A29" s="107">
        <f aca="true" t="shared" si="13" ref="A29:A35">A28+1</f>
        <v>3</v>
      </c>
      <c r="B29" s="108" t="s">
        <v>252</v>
      </c>
      <c r="C29" s="110">
        <f t="shared" si="8"/>
        <v>5686</v>
      </c>
      <c r="D29" s="110">
        <v>1036</v>
      </c>
      <c r="E29" s="110">
        <f>4574981/1000</f>
        <v>4574.981</v>
      </c>
      <c r="F29" s="110">
        <f>75019/1000</f>
        <v>75.019</v>
      </c>
      <c r="G29" s="110"/>
      <c r="H29" s="131">
        <f t="shared" si="9"/>
        <v>7214.7967929999995</v>
      </c>
      <c r="I29" s="131">
        <f t="shared" si="10"/>
        <v>965.779</v>
      </c>
      <c r="J29" s="110"/>
      <c r="K29" s="110"/>
      <c r="L29" s="110">
        <f>965779000/1000000</f>
        <v>965.779</v>
      </c>
      <c r="M29" s="110">
        <f t="shared" si="11"/>
        <v>6143.021586</v>
      </c>
      <c r="N29" s="110">
        <f>86000/1000</f>
        <v>86</v>
      </c>
      <c r="O29" s="110"/>
      <c r="P29" s="110">
        <f>(6057021586)/1000000</f>
        <v>6057.021586</v>
      </c>
      <c r="Q29" s="137">
        <f t="shared" si="12"/>
        <v>0</v>
      </c>
      <c r="R29" s="110"/>
      <c r="S29" s="110"/>
      <c r="T29" s="110">
        <f>105996207/1000000</f>
        <v>105.996207</v>
      </c>
      <c r="U29" s="110">
        <f t="shared" si="5"/>
        <v>126.88703469926132</v>
      </c>
      <c r="V29" s="110">
        <f t="shared" si="6"/>
        <v>93.2219111969112</v>
      </c>
      <c r="W29" s="110">
        <f t="shared" si="3"/>
        <v>134.27425351056104</v>
      </c>
    </row>
    <row r="30" spans="1:23" ht="15.75">
      <c r="A30" s="107">
        <f t="shared" si="13"/>
        <v>4</v>
      </c>
      <c r="B30" s="108" t="s">
        <v>253</v>
      </c>
      <c r="C30" s="110">
        <f t="shared" si="8"/>
        <v>3962</v>
      </c>
      <c r="D30" s="110">
        <f>0/1000</f>
        <v>0</v>
      </c>
      <c r="E30" s="110">
        <f>3896630/1000</f>
        <v>3896.63</v>
      </c>
      <c r="F30" s="110">
        <f>65370/1000</f>
        <v>65.37</v>
      </c>
      <c r="G30" s="110"/>
      <c r="H30" s="131">
        <f t="shared" si="9"/>
        <v>5205.257011</v>
      </c>
      <c r="I30" s="131">
        <f t="shared" si="10"/>
        <v>2.722</v>
      </c>
      <c r="J30" s="110"/>
      <c r="K30" s="110"/>
      <c r="L30" s="110">
        <f>2722000/1000000</f>
        <v>2.722</v>
      </c>
      <c r="M30" s="110">
        <f t="shared" si="11"/>
        <v>5183.847011</v>
      </c>
      <c r="N30" s="110">
        <f>100000/1000</f>
        <v>100</v>
      </c>
      <c r="O30" s="110"/>
      <c r="P30" s="110">
        <f>(5083847011)/1000000</f>
        <v>5083.847011</v>
      </c>
      <c r="Q30" s="137">
        <f t="shared" si="12"/>
        <v>0</v>
      </c>
      <c r="R30" s="110"/>
      <c r="S30" s="110"/>
      <c r="T30" s="110">
        <f>18688000/1000000</f>
        <v>18.688</v>
      </c>
      <c r="U30" s="110">
        <f t="shared" si="5"/>
        <v>131.3795308177688</v>
      </c>
      <c r="V30" s="110"/>
      <c r="W30" s="110">
        <f t="shared" si="3"/>
        <v>133.0341092431152</v>
      </c>
    </row>
    <row r="31" spans="1:23" ht="15.75">
      <c r="A31" s="107">
        <f t="shared" si="13"/>
        <v>5</v>
      </c>
      <c r="B31" s="139" t="s">
        <v>254</v>
      </c>
      <c r="C31" s="110">
        <f t="shared" si="8"/>
        <v>8830</v>
      </c>
      <c r="D31" s="110">
        <f>2465000/1000</f>
        <v>2465</v>
      </c>
      <c r="E31" s="110">
        <f>6272468/1000</f>
        <v>6272.468</v>
      </c>
      <c r="F31" s="110">
        <f>92532/1000</f>
        <v>92.532</v>
      </c>
      <c r="G31" s="110"/>
      <c r="H31" s="131">
        <f t="shared" si="9"/>
        <v>15362.982936000002</v>
      </c>
      <c r="I31" s="131">
        <f t="shared" si="10"/>
        <v>2167.119</v>
      </c>
      <c r="J31" s="110"/>
      <c r="K31" s="110"/>
      <c r="L31" s="110">
        <f>2167119000/1000000</f>
        <v>2167.119</v>
      </c>
      <c r="M31" s="110">
        <f t="shared" si="11"/>
        <v>12219.604295000001</v>
      </c>
      <c r="N31" s="110">
        <f>217100/1000</f>
        <v>217.1</v>
      </c>
      <c r="O31" s="110"/>
      <c r="P31" s="110">
        <f>(12147968295-145464000)/1000000</f>
        <v>12002.504295</v>
      </c>
      <c r="Q31" s="137">
        <f t="shared" si="12"/>
        <v>145.464</v>
      </c>
      <c r="R31" s="110"/>
      <c r="S31" s="110">
        <f>145464000/1000000</f>
        <v>145.464</v>
      </c>
      <c r="T31" s="110">
        <f>830795641/1000000</f>
        <v>830.795641</v>
      </c>
      <c r="U31" s="110">
        <f t="shared" si="5"/>
        <v>173.98621671574182</v>
      </c>
      <c r="V31" s="110">
        <f t="shared" si="6"/>
        <v>87.9155780933063</v>
      </c>
      <c r="W31" s="110">
        <f t="shared" si="3"/>
        <v>194.81333814696228</v>
      </c>
    </row>
    <row r="32" spans="1:23" ht="15.75">
      <c r="A32" s="107">
        <f t="shared" si="13"/>
        <v>6</v>
      </c>
      <c r="B32" s="139" t="s">
        <v>255</v>
      </c>
      <c r="C32" s="110">
        <f t="shared" si="8"/>
        <v>7093</v>
      </c>
      <c r="D32" s="110">
        <v>1126</v>
      </c>
      <c r="E32" s="110">
        <f>5875677/1000</f>
        <v>5875.677</v>
      </c>
      <c r="F32" s="110">
        <f>91323/1000</f>
        <v>91.323</v>
      </c>
      <c r="G32" s="110"/>
      <c r="H32" s="131">
        <f t="shared" si="9"/>
        <v>11438.9349</v>
      </c>
      <c r="I32" s="131">
        <f t="shared" si="10"/>
        <v>649.369</v>
      </c>
      <c r="J32" s="110"/>
      <c r="K32" s="110"/>
      <c r="L32" s="110">
        <f>649369000/1000000</f>
        <v>649.369</v>
      </c>
      <c r="M32" s="110">
        <f t="shared" si="11"/>
        <v>10278.025673999999</v>
      </c>
      <c r="N32" s="110">
        <f>243300/1000</f>
        <v>243.3</v>
      </c>
      <c r="O32" s="110"/>
      <c r="P32" s="110">
        <f>(10182425674-147700000)/1000000</f>
        <v>10034.725674</v>
      </c>
      <c r="Q32" s="137">
        <f t="shared" si="12"/>
        <v>147.7</v>
      </c>
      <c r="R32" s="110"/>
      <c r="S32" s="110">
        <f>147700000/1000000</f>
        <v>147.7</v>
      </c>
      <c r="T32" s="110">
        <f>363840226/1000000</f>
        <v>363.840226</v>
      </c>
      <c r="U32" s="110">
        <f t="shared" si="5"/>
        <v>161.27075849429016</v>
      </c>
      <c r="V32" s="110">
        <f t="shared" si="6"/>
        <v>57.67042628774423</v>
      </c>
      <c r="W32" s="110">
        <f t="shared" si="3"/>
        <v>174.9249605449721</v>
      </c>
    </row>
    <row r="33" spans="1:23" s="125" customFormat="1" ht="31.5">
      <c r="A33" s="118">
        <f t="shared" si="13"/>
        <v>7</v>
      </c>
      <c r="B33" s="370" t="s">
        <v>256</v>
      </c>
      <c r="C33" s="131">
        <f t="shared" si="8"/>
        <v>4913</v>
      </c>
      <c r="D33" s="131"/>
      <c r="E33" s="131">
        <f>4835686/1000</f>
        <v>4835.686</v>
      </c>
      <c r="F33" s="131">
        <f>77314/1000</f>
        <v>77.314</v>
      </c>
      <c r="G33" s="131"/>
      <c r="H33" s="131">
        <f>I33+M33+T33+Q33</f>
        <v>6941.024868</v>
      </c>
      <c r="I33" s="131">
        <f t="shared" si="10"/>
        <v>0</v>
      </c>
      <c r="J33" s="131"/>
      <c r="K33" s="131"/>
      <c r="L33" s="131">
        <v>0</v>
      </c>
      <c r="M33" s="131">
        <f t="shared" si="11"/>
        <v>6729.79229</v>
      </c>
      <c r="N33" s="131">
        <f>123300/1000</f>
        <v>123.3</v>
      </c>
      <c r="O33" s="131"/>
      <c r="P33" s="131">
        <f>(6606492290)/1000000</f>
        <v>6606.49229</v>
      </c>
      <c r="Q33" s="137">
        <f t="shared" si="12"/>
        <v>0</v>
      </c>
      <c r="R33" s="131"/>
      <c r="S33" s="131"/>
      <c r="T33" s="131">
        <f>211232578/1000000</f>
        <v>211.232578</v>
      </c>
      <c r="U33" s="131">
        <f t="shared" si="5"/>
        <v>141.2787475676776</v>
      </c>
      <c r="V33" s="131"/>
      <c r="W33" s="131">
        <f t="shared" si="3"/>
        <v>139.16933998609505</v>
      </c>
    </row>
    <row r="34" spans="1:23" ht="15.75">
      <c r="A34" s="107">
        <f t="shared" si="13"/>
        <v>8</v>
      </c>
      <c r="B34" s="139" t="s">
        <v>257</v>
      </c>
      <c r="C34" s="110">
        <f t="shared" si="8"/>
        <v>4897</v>
      </c>
      <c r="D34" s="110">
        <f>493000/1000</f>
        <v>493</v>
      </c>
      <c r="E34" s="110">
        <f>4334630/1000</f>
        <v>4334.63</v>
      </c>
      <c r="F34" s="110">
        <f>69370/1000</f>
        <v>69.37</v>
      </c>
      <c r="G34" s="110"/>
      <c r="H34" s="131">
        <f t="shared" si="9"/>
        <v>6554.174408000001</v>
      </c>
      <c r="I34" s="131">
        <f>L34+K34+J34</f>
        <v>414.154</v>
      </c>
      <c r="J34" s="110"/>
      <c r="K34" s="110"/>
      <c r="L34" s="110">
        <f>414154000/1000000</f>
        <v>414.154</v>
      </c>
      <c r="M34" s="131">
        <f t="shared" si="11"/>
        <v>5797.302151</v>
      </c>
      <c r="N34" s="110">
        <f>134800/1000</f>
        <v>134.8</v>
      </c>
      <c r="O34" s="110"/>
      <c r="P34" s="110">
        <f>(5662502151)/1000000</f>
        <v>5662.502151</v>
      </c>
      <c r="Q34" s="137">
        <f t="shared" si="12"/>
        <v>0</v>
      </c>
      <c r="R34" s="110"/>
      <c r="S34" s="110"/>
      <c r="T34" s="110">
        <f>342718257/1000000</f>
        <v>342.718257</v>
      </c>
      <c r="U34" s="110">
        <f t="shared" si="5"/>
        <v>133.84060461507045</v>
      </c>
      <c r="V34" s="110">
        <f t="shared" si="6"/>
        <v>84.00689655172414</v>
      </c>
      <c r="W34" s="110">
        <f t="shared" si="3"/>
        <v>133.74387550955907</v>
      </c>
    </row>
    <row r="35" spans="1:23" ht="15.75">
      <c r="A35" s="107">
        <f t="shared" si="13"/>
        <v>9</v>
      </c>
      <c r="B35" s="139" t="s">
        <v>258</v>
      </c>
      <c r="C35" s="110">
        <f t="shared" si="8"/>
        <v>5719</v>
      </c>
      <c r="D35" s="110">
        <v>790</v>
      </c>
      <c r="E35" s="110">
        <f>4852049/1000</f>
        <v>4852.049</v>
      </c>
      <c r="F35" s="110">
        <f>76951/1000</f>
        <v>76.951</v>
      </c>
      <c r="G35" s="110"/>
      <c r="H35" s="131">
        <f>I35+M35+T35+Q35</f>
        <v>8603.536108</v>
      </c>
      <c r="I35" s="131">
        <f>L35+K35+J35</f>
        <v>384.566</v>
      </c>
      <c r="J35" s="110"/>
      <c r="K35" s="110"/>
      <c r="L35" s="110">
        <f>384566000/1000000</f>
        <v>384.566</v>
      </c>
      <c r="M35" s="131">
        <f t="shared" si="11"/>
        <v>7099.713927</v>
      </c>
      <c r="N35" s="110">
        <f>90000/1000</f>
        <v>90</v>
      </c>
      <c r="O35" s="110"/>
      <c r="P35" s="110">
        <f>7009713927/1000000</f>
        <v>7009.713927</v>
      </c>
      <c r="Q35" s="137">
        <f t="shared" si="12"/>
        <v>0</v>
      </c>
      <c r="R35" s="110"/>
      <c r="S35" s="110"/>
      <c r="T35" s="110">
        <f>1119256181/1000000</f>
        <v>1119.256181</v>
      </c>
      <c r="U35" s="110">
        <f t="shared" si="5"/>
        <v>150.43777072914847</v>
      </c>
      <c r="V35" s="110"/>
      <c r="W35" s="110">
        <f t="shared" si="3"/>
        <v>146.3240360309634</v>
      </c>
    </row>
    <row r="36" spans="1:23" ht="15.75">
      <c r="A36" s="356"/>
      <c r="B36" s="357"/>
      <c r="C36" s="355"/>
      <c r="D36" s="355"/>
      <c r="E36" s="355"/>
      <c r="F36" s="355"/>
      <c r="G36" s="355"/>
      <c r="H36" s="355"/>
      <c r="I36" s="355"/>
      <c r="J36" s="355"/>
      <c r="K36" s="355"/>
      <c r="L36" s="355"/>
      <c r="M36" s="355"/>
      <c r="N36" s="355"/>
      <c r="O36" s="355"/>
      <c r="P36" s="734"/>
      <c r="Q36" s="734"/>
      <c r="R36" s="734"/>
      <c r="S36" s="355"/>
      <c r="T36" s="355"/>
      <c r="U36" s="355"/>
      <c r="V36" s="355"/>
      <c r="W36" s="355"/>
    </row>
    <row r="37" spans="1:23" ht="15.75">
      <c r="A37" s="356"/>
      <c r="B37" s="357"/>
      <c r="C37" s="355"/>
      <c r="D37" s="355"/>
      <c r="E37" s="355"/>
      <c r="F37" s="355"/>
      <c r="G37" s="355"/>
      <c r="H37" s="355"/>
      <c r="I37" s="355"/>
      <c r="J37" s="355"/>
      <c r="K37" s="355"/>
      <c r="L37" s="355"/>
      <c r="M37" s="355"/>
      <c r="N37" s="355"/>
      <c r="O37" s="355"/>
      <c r="P37" s="734"/>
      <c r="Q37" s="734"/>
      <c r="R37" s="734"/>
      <c r="S37" s="355"/>
      <c r="T37" s="355"/>
      <c r="U37" s="355"/>
      <c r="V37" s="355"/>
      <c r="W37" s="355"/>
    </row>
    <row r="38" spans="1:23" ht="15.75">
      <c r="A38" s="356"/>
      <c r="B38" s="357"/>
      <c r="C38" s="355"/>
      <c r="D38" s="355"/>
      <c r="E38" s="355"/>
      <c r="F38" s="355"/>
      <c r="G38" s="355"/>
      <c r="H38" s="355"/>
      <c r="I38" s="355"/>
      <c r="J38" s="355"/>
      <c r="K38" s="355"/>
      <c r="L38" s="355"/>
      <c r="M38" s="355"/>
      <c r="N38" s="355"/>
      <c r="O38" s="355"/>
      <c r="P38" s="734"/>
      <c r="Q38" s="734"/>
      <c r="R38" s="734"/>
      <c r="S38" s="355"/>
      <c r="T38" s="355"/>
      <c r="U38" s="355"/>
      <c r="V38" s="355"/>
      <c r="W38" s="355"/>
    </row>
    <row r="39" spans="1:23" ht="15.75">
      <c r="A39" s="356"/>
      <c r="B39" s="357"/>
      <c r="C39" s="355"/>
      <c r="D39" s="355"/>
      <c r="E39" s="355"/>
      <c r="F39" s="355"/>
      <c r="G39" s="355"/>
      <c r="H39" s="355"/>
      <c r="I39" s="355"/>
      <c r="J39" s="355"/>
      <c r="K39" s="355"/>
      <c r="L39" s="355"/>
      <c r="M39" s="355"/>
      <c r="N39" s="355"/>
      <c r="O39" s="355"/>
      <c r="P39" s="734"/>
      <c r="Q39" s="734"/>
      <c r="R39" s="734"/>
      <c r="S39" s="355"/>
      <c r="T39" s="355"/>
      <c r="U39" s="355"/>
      <c r="V39" s="355"/>
      <c r="W39" s="355"/>
    </row>
    <row r="40" spans="1:23" ht="15.75">
      <c r="A40" s="356"/>
      <c r="B40" s="357"/>
      <c r="C40" s="355"/>
      <c r="D40" s="355"/>
      <c r="E40" s="355"/>
      <c r="F40" s="355"/>
      <c r="G40" s="355"/>
      <c r="H40" s="355"/>
      <c r="I40" s="355"/>
      <c r="J40" s="355"/>
      <c r="K40" s="355"/>
      <c r="L40" s="355"/>
      <c r="M40" s="355"/>
      <c r="N40" s="355"/>
      <c r="O40" s="355"/>
      <c r="P40" s="734"/>
      <c r="Q40" s="734"/>
      <c r="R40" s="734"/>
      <c r="S40" s="355"/>
      <c r="T40" s="355"/>
      <c r="U40" s="355"/>
      <c r="V40" s="355"/>
      <c r="W40" s="355"/>
    </row>
    <row r="41" spans="1:23" ht="15.75">
      <c r="A41" s="356"/>
      <c r="B41" s="357"/>
      <c r="C41" s="355"/>
      <c r="D41" s="355"/>
      <c r="E41" s="355"/>
      <c r="F41" s="355"/>
      <c r="G41" s="355"/>
      <c r="H41" s="355"/>
      <c r="I41" s="355"/>
      <c r="J41" s="355"/>
      <c r="K41" s="355"/>
      <c r="L41" s="355"/>
      <c r="M41" s="355"/>
      <c r="N41" s="355"/>
      <c r="O41" s="355"/>
      <c r="P41" s="734"/>
      <c r="Q41" s="734"/>
      <c r="R41" s="734"/>
      <c r="S41" s="355"/>
      <c r="T41" s="355"/>
      <c r="U41" s="355"/>
      <c r="V41" s="355"/>
      <c r="W41" s="355"/>
    </row>
    <row r="42" spans="1:23" ht="15.75">
      <c r="A42" s="356"/>
      <c r="B42" s="357"/>
      <c r="C42" s="355"/>
      <c r="D42" s="355"/>
      <c r="E42" s="355"/>
      <c r="F42" s="355"/>
      <c r="G42" s="355"/>
      <c r="H42" s="355"/>
      <c r="I42" s="355"/>
      <c r="J42" s="355"/>
      <c r="K42" s="355"/>
      <c r="L42" s="355"/>
      <c r="M42" s="355"/>
      <c r="N42" s="355"/>
      <c r="O42" s="355"/>
      <c r="P42" s="355"/>
      <c r="Q42" s="355"/>
      <c r="R42" s="355"/>
      <c r="S42" s="355"/>
      <c r="T42" s="355"/>
      <c r="U42" s="355"/>
      <c r="V42" s="355"/>
      <c r="W42" s="355"/>
    </row>
    <row r="43" spans="1:23" ht="15.75">
      <c r="A43" s="356"/>
      <c r="B43" s="357"/>
      <c r="C43" s="355"/>
      <c r="D43" s="355"/>
      <c r="E43" s="355"/>
      <c r="F43" s="355"/>
      <c r="G43" s="355"/>
      <c r="H43" s="355"/>
      <c r="I43" s="355"/>
      <c r="J43" s="355"/>
      <c r="K43" s="355"/>
      <c r="L43" s="355"/>
      <c r="M43" s="355"/>
      <c r="N43" s="355"/>
      <c r="O43" s="355"/>
      <c r="P43" s="355"/>
      <c r="Q43" s="355"/>
      <c r="R43" s="355"/>
      <c r="S43" s="355"/>
      <c r="T43" s="355"/>
      <c r="U43" s="355"/>
      <c r="V43" s="355"/>
      <c r="W43" s="355"/>
    </row>
    <row r="44" spans="1:23" ht="15.75">
      <c r="A44" s="356"/>
      <c r="B44" s="357"/>
      <c r="C44" s="355"/>
      <c r="D44" s="355"/>
      <c r="E44" s="355"/>
      <c r="F44" s="355"/>
      <c r="G44" s="355"/>
      <c r="H44" s="355"/>
      <c r="I44" s="355"/>
      <c r="J44" s="355"/>
      <c r="K44" s="355"/>
      <c r="L44" s="355"/>
      <c r="M44" s="355"/>
      <c r="N44" s="355"/>
      <c r="O44" s="355"/>
      <c r="P44" s="355"/>
      <c r="Q44" s="355"/>
      <c r="R44" s="355"/>
      <c r="S44" s="355"/>
      <c r="T44" s="355"/>
      <c r="U44" s="355"/>
      <c r="V44" s="355"/>
      <c r="W44" s="355"/>
    </row>
    <row r="45" spans="1:23" ht="15.75">
      <c r="A45" s="356"/>
      <c r="B45" s="357"/>
      <c r="C45" s="355"/>
      <c r="D45" s="355"/>
      <c r="E45" s="355"/>
      <c r="F45" s="355"/>
      <c r="G45" s="355"/>
      <c r="H45" s="355"/>
      <c r="I45" s="355"/>
      <c r="J45" s="355"/>
      <c r="K45" s="355"/>
      <c r="L45" s="355"/>
      <c r="M45" s="355"/>
      <c r="N45" s="355"/>
      <c r="O45" s="355"/>
      <c r="P45" s="355"/>
      <c r="Q45" s="355"/>
      <c r="R45" s="355"/>
      <c r="S45" s="355"/>
      <c r="T45" s="355"/>
      <c r="U45" s="355"/>
      <c r="V45" s="355"/>
      <c r="W45" s="355"/>
    </row>
    <row r="46" spans="1:23" ht="15.75">
      <c r="A46" s="356"/>
      <c r="B46" s="357"/>
      <c r="C46" s="355"/>
      <c r="D46" s="355"/>
      <c r="E46" s="355"/>
      <c r="F46" s="355"/>
      <c r="G46" s="355"/>
      <c r="H46" s="355"/>
      <c r="I46" s="355"/>
      <c r="J46" s="355"/>
      <c r="K46" s="355"/>
      <c r="L46" s="355"/>
      <c r="M46" s="355"/>
      <c r="N46" s="355"/>
      <c r="O46" s="355"/>
      <c r="P46" s="355"/>
      <c r="Q46" s="355"/>
      <c r="R46" s="355"/>
      <c r="S46" s="355"/>
      <c r="T46" s="355"/>
      <c r="U46" s="355"/>
      <c r="V46" s="355"/>
      <c r="W46" s="355"/>
    </row>
    <row r="47" spans="1:23" ht="15.75">
      <c r="A47" s="356"/>
      <c r="B47" s="357"/>
      <c r="C47" s="355"/>
      <c r="D47" s="355"/>
      <c r="E47" s="355"/>
      <c r="F47" s="355"/>
      <c r="G47" s="355"/>
      <c r="H47" s="355"/>
      <c r="I47" s="355"/>
      <c r="J47" s="355"/>
      <c r="K47" s="355"/>
      <c r="L47" s="355"/>
      <c r="M47" s="355"/>
      <c r="N47" s="355"/>
      <c r="O47" s="355"/>
      <c r="P47" s="355"/>
      <c r="Q47" s="355"/>
      <c r="R47" s="355"/>
      <c r="S47" s="355"/>
      <c r="T47" s="355"/>
      <c r="U47" s="355"/>
      <c r="V47" s="355"/>
      <c r="W47" s="355"/>
    </row>
    <row r="48" spans="1:23" ht="15.75">
      <c r="A48" s="356"/>
      <c r="B48" s="357"/>
      <c r="C48" s="355"/>
      <c r="D48" s="355"/>
      <c r="E48" s="355"/>
      <c r="F48" s="355"/>
      <c r="G48" s="355"/>
      <c r="H48" s="355"/>
      <c r="I48" s="355"/>
      <c r="J48" s="355"/>
      <c r="K48" s="355"/>
      <c r="L48" s="355"/>
      <c r="M48" s="355"/>
      <c r="N48" s="355"/>
      <c r="O48" s="355"/>
      <c r="P48" s="355"/>
      <c r="Q48" s="355"/>
      <c r="R48" s="355"/>
      <c r="S48" s="355"/>
      <c r="T48" s="355"/>
      <c r="U48" s="355"/>
      <c r="V48" s="355"/>
      <c r="W48" s="355"/>
    </row>
    <row r="49" spans="1:23" ht="15.75">
      <c r="A49" s="356"/>
      <c r="B49" s="357"/>
      <c r="C49" s="355"/>
      <c r="D49" s="355"/>
      <c r="E49" s="355"/>
      <c r="F49" s="355"/>
      <c r="G49" s="355"/>
      <c r="H49" s="355"/>
      <c r="I49" s="355"/>
      <c r="J49" s="355"/>
      <c r="K49" s="355"/>
      <c r="L49" s="355"/>
      <c r="M49" s="355"/>
      <c r="N49" s="355"/>
      <c r="O49" s="355"/>
      <c r="P49" s="355"/>
      <c r="Q49" s="355"/>
      <c r="R49" s="355"/>
      <c r="S49" s="355"/>
      <c r="T49" s="355"/>
      <c r="U49" s="355"/>
      <c r="V49" s="355"/>
      <c r="W49" s="355"/>
    </row>
    <row r="50" spans="1:23" ht="15.75">
      <c r="A50" s="356"/>
      <c r="B50" s="357"/>
      <c r="C50" s="355"/>
      <c r="D50" s="355"/>
      <c r="E50" s="355"/>
      <c r="F50" s="355"/>
      <c r="G50" s="355"/>
      <c r="H50" s="355"/>
      <c r="I50" s="355"/>
      <c r="J50" s="355"/>
      <c r="K50" s="355"/>
      <c r="L50" s="355"/>
      <c r="M50" s="355"/>
      <c r="N50" s="355"/>
      <c r="O50" s="355"/>
      <c r="P50" s="355"/>
      <c r="Q50" s="355"/>
      <c r="R50" s="355"/>
      <c r="S50" s="355"/>
      <c r="T50" s="355"/>
      <c r="U50" s="355"/>
      <c r="V50" s="355"/>
      <c r="W50" s="355"/>
    </row>
    <row r="51" spans="1:23" ht="15.75">
      <c r="A51" s="356"/>
      <c r="B51" s="357"/>
      <c r="C51" s="355"/>
      <c r="D51" s="355"/>
      <c r="E51" s="355"/>
      <c r="F51" s="355"/>
      <c r="G51" s="355"/>
      <c r="H51" s="355"/>
      <c r="I51" s="355"/>
      <c r="J51" s="355"/>
      <c r="K51" s="355"/>
      <c r="L51" s="355"/>
      <c r="M51" s="355"/>
      <c r="N51" s="355"/>
      <c r="O51" s="355"/>
      <c r="P51" s="355"/>
      <c r="Q51" s="355"/>
      <c r="R51" s="355"/>
      <c r="S51" s="355"/>
      <c r="T51" s="355"/>
      <c r="U51" s="355"/>
      <c r="V51" s="355"/>
      <c r="W51" s="355"/>
    </row>
    <row r="52" spans="1:23" ht="15.75">
      <c r="A52" s="356"/>
      <c r="B52" s="357"/>
      <c r="C52" s="355"/>
      <c r="D52" s="355"/>
      <c r="E52" s="355"/>
      <c r="F52" s="355"/>
      <c r="G52" s="355"/>
      <c r="H52" s="355"/>
      <c r="I52" s="355"/>
      <c r="J52" s="355"/>
      <c r="K52" s="355"/>
      <c r="L52" s="355"/>
      <c r="M52" s="355"/>
      <c r="N52" s="355"/>
      <c r="O52" s="355"/>
      <c r="P52" s="355"/>
      <c r="Q52" s="355"/>
      <c r="R52" s="355"/>
      <c r="S52" s="355"/>
      <c r="T52" s="355"/>
      <c r="U52" s="355"/>
      <c r="V52" s="355"/>
      <c r="W52" s="355"/>
    </row>
    <row r="53" spans="1:23" ht="15.75">
      <c r="A53" s="356"/>
      <c r="B53" s="357"/>
      <c r="C53" s="355"/>
      <c r="D53" s="355"/>
      <c r="E53" s="355"/>
      <c r="F53" s="355"/>
      <c r="G53" s="355"/>
      <c r="H53" s="355"/>
      <c r="I53" s="355"/>
      <c r="J53" s="355"/>
      <c r="K53" s="355"/>
      <c r="L53" s="355"/>
      <c r="M53" s="355"/>
      <c r="N53" s="355"/>
      <c r="O53" s="355"/>
      <c r="P53" s="355"/>
      <c r="Q53" s="355"/>
      <c r="R53" s="355"/>
      <c r="S53" s="355"/>
      <c r="T53" s="355"/>
      <c r="U53" s="355"/>
      <c r="V53" s="355"/>
      <c r="W53" s="355"/>
    </row>
    <row r="54" spans="1:23" ht="15.75">
      <c r="A54" s="356"/>
      <c r="B54" s="357"/>
      <c r="C54" s="355"/>
      <c r="D54" s="355"/>
      <c r="E54" s="355"/>
      <c r="F54" s="355"/>
      <c r="G54" s="355"/>
      <c r="H54" s="355"/>
      <c r="I54" s="355"/>
      <c r="J54" s="355"/>
      <c r="K54" s="355"/>
      <c r="L54" s="355"/>
      <c r="M54" s="355"/>
      <c r="N54" s="355"/>
      <c r="O54" s="355"/>
      <c r="P54" s="355"/>
      <c r="Q54" s="355"/>
      <c r="R54" s="355"/>
      <c r="S54" s="355"/>
      <c r="T54" s="355"/>
      <c r="U54" s="355"/>
      <c r="V54" s="355"/>
      <c r="W54" s="355"/>
    </row>
    <row r="55" spans="1:23" ht="15.75">
      <c r="A55" s="356"/>
      <c r="B55" s="357"/>
      <c r="C55" s="355"/>
      <c r="D55" s="355"/>
      <c r="E55" s="355"/>
      <c r="F55" s="355"/>
      <c r="G55" s="355"/>
      <c r="H55" s="355"/>
      <c r="I55" s="355"/>
      <c r="J55" s="355"/>
      <c r="K55" s="355"/>
      <c r="L55" s="355"/>
      <c r="M55" s="355"/>
      <c r="N55" s="355"/>
      <c r="O55" s="355"/>
      <c r="P55" s="355"/>
      <c r="Q55" s="355"/>
      <c r="R55" s="355"/>
      <c r="S55" s="355"/>
      <c r="T55" s="355"/>
      <c r="U55" s="355"/>
      <c r="V55" s="355"/>
      <c r="W55" s="355"/>
    </row>
    <row r="56" spans="1:23" ht="24.75" customHeight="1">
      <c r="A56" s="18"/>
      <c r="B56" s="18"/>
      <c r="C56" s="45"/>
      <c r="D56" s="45"/>
      <c r="E56" s="45"/>
      <c r="F56" s="45"/>
      <c r="G56" s="45"/>
      <c r="H56" s="45"/>
      <c r="I56" s="45"/>
      <c r="J56" s="45"/>
      <c r="K56" s="45"/>
      <c r="L56" s="45"/>
      <c r="M56" s="45"/>
      <c r="N56" s="45"/>
      <c r="O56" s="45"/>
      <c r="P56" s="45"/>
      <c r="Q56" s="45"/>
      <c r="R56" s="45"/>
      <c r="S56" s="45"/>
      <c r="T56" s="45"/>
      <c r="U56" s="45"/>
      <c r="V56" s="45"/>
      <c r="W56" s="45"/>
    </row>
    <row r="57" spans="1:23" ht="15.75" customHeight="1">
      <c r="A57" s="18"/>
      <c r="B57" s="18"/>
      <c r="C57" s="45"/>
      <c r="D57" s="45"/>
      <c r="E57" s="45"/>
      <c r="F57" s="45"/>
      <c r="G57" s="45"/>
      <c r="H57" s="45"/>
      <c r="I57" s="45"/>
      <c r="J57" s="45"/>
      <c r="K57" s="45"/>
      <c r="L57" s="45"/>
      <c r="M57" s="45"/>
      <c r="N57" s="45"/>
      <c r="O57" s="45"/>
      <c r="P57" s="45"/>
      <c r="Q57" s="45"/>
      <c r="R57" s="45"/>
      <c r="S57" s="45"/>
      <c r="T57" s="45"/>
      <c r="U57" s="45"/>
      <c r="V57" s="45"/>
      <c r="W57" s="45"/>
    </row>
    <row r="58" spans="1:23" ht="15.75" customHeight="1">
      <c r="A58" s="18"/>
      <c r="B58" s="18"/>
      <c r="C58" s="45"/>
      <c r="D58" s="45"/>
      <c r="E58" s="45"/>
      <c r="F58" s="45"/>
      <c r="G58" s="45"/>
      <c r="H58" s="45"/>
      <c r="I58" s="45"/>
      <c r="J58" s="45"/>
      <c r="K58" s="45"/>
      <c r="L58" s="45"/>
      <c r="M58" s="45"/>
      <c r="N58" s="45"/>
      <c r="O58" s="45"/>
      <c r="P58" s="45"/>
      <c r="Q58" s="45"/>
      <c r="R58" s="45"/>
      <c r="S58" s="45"/>
      <c r="T58" s="45"/>
      <c r="U58" s="45"/>
      <c r="V58" s="45"/>
      <c r="W58" s="45"/>
    </row>
    <row r="59" spans="1:2" ht="19.5" customHeight="1">
      <c r="A59" s="18"/>
      <c r="B59" s="5"/>
    </row>
    <row r="62" ht="15.75">
      <c r="A62" s="18"/>
    </row>
    <row r="70" ht="22.5" customHeight="1"/>
  </sheetData>
  <sheetProtection/>
  <mergeCells count="50">
    <mergeCell ref="A5:W5"/>
    <mergeCell ref="A7:W7"/>
    <mergeCell ref="A1:D1"/>
    <mergeCell ref="A2:D2"/>
    <mergeCell ref="A3:D3"/>
    <mergeCell ref="K1:W1"/>
    <mergeCell ref="K2:W2"/>
    <mergeCell ref="K3:W3"/>
    <mergeCell ref="P36:R36"/>
    <mergeCell ref="P37:R37"/>
    <mergeCell ref="P38:R38"/>
    <mergeCell ref="P39:R39"/>
    <mergeCell ref="P40:R40"/>
    <mergeCell ref="P41:R41"/>
    <mergeCell ref="W13:W21"/>
    <mergeCell ref="T13:T21"/>
    <mergeCell ref="H13:H21"/>
    <mergeCell ref="I14:I21"/>
    <mergeCell ref="R15:R21"/>
    <mergeCell ref="V13:V21"/>
    <mergeCell ref="J15:J21"/>
    <mergeCell ref="L15:L21"/>
    <mergeCell ref="U13:U21"/>
    <mergeCell ref="O15:O21"/>
    <mergeCell ref="A6:W6"/>
    <mergeCell ref="A12:A21"/>
    <mergeCell ref="B12:B21"/>
    <mergeCell ref="M13:P13"/>
    <mergeCell ref="M14:P14"/>
    <mergeCell ref="E13:E21"/>
    <mergeCell ref="F13:F21"/>
    <mergeCell ref="K15:K21"/>
    <mergeCell ref="A10:W10"/>
    <mergeCell ref="I13:L13"/>
    <mergeCell ref="Q13:S13"/>
    <mergeCell ref="G13:G21"/>
    <mergeCell ref="D13:D21"/>
    <mergeCell ref="J14:L14"/>
    <mergeCell ref="M15:M21"/>
    <mergeCell ref="Q15:Q21"/>
    <mergeCell ref="Q14:S14"/>
    <mergeCell ref="C13:C21"/>
    <mergeCell ref="S15:S21"/>
    <mergeCell ref="C12:G12"/>
    <mergeCell ref="O4:W4"/>
    <mergeCell ref="Q11:W11"/>
    <mergeCell ref="H12:T12"/>
    <mergeCell ref="U12:W12"/>
    <mergeCell ref="N15:N21"/>
    <mergeCell ref="P15:P21"/>
  </mergeCells>
  <printOptions horizontalCentered="1"/>
  <pageMargins left="0.31496062992126" right="0.236220472440945" top="0.67" bottom="0" header="0.433070866141732" footer="0.15748031496063"/>
  <pageSetup fitToHeight="5" fitToWidth="1" horizontalDpi="600" verticalDpi="600" orientation="landscape" paperSize="9" scale="72" r:id="rId1"/>
  <headerFooter alignWithMargins="0">
    <oddFooter>&amp;C&amp;".VnTime,Italic"&amp;8
</oddFooter>
  </headerFooter>
</worksheet>
</file>

<file path=xl/worksheets/sheet12.xml><?xml version="1.0" encoding="utf-8"?>
<worksheet xmlns="http://schemas.openxmlformats.org/spreadsheetml/2006/main" xmlns:r="http://schemas.openxmlformats.org/officeDocument/2006/relationships">
  <sheetPr>
    <tabColor rgb="FF00B0F0"/>
    <pageSetUpPr fitToPage="1"/>
  </sheetPr>
  <dimension ref="A1:AA34"/>
  <sheetViews>
    <sheetView zoomScale="70" zoomScaleNormal="70" workbookViewId="0" topLeftCell="A22">
      <selection activeCell="A7" sqref="A7:Z7"/>
    </sheetView>
  </sheetViews>
  <sheetFormatPr defaultColWidth="8.796875" defaultRowHeight="15"/>
  <cols>
    <col min="1" max="1" width="4.5" style="3" customWidth="1"/>
    <col min="2" max="2" width="26.59765625" style="3" customWidth="1"/>
    <col min="3" max="3" width="8.5" style="3" customWidth="1"/>
    <col min="4" max="4" width="9.5" style="3" customWidth="1"/>
    <col min="5" max="5" width="8.5" style="3" customWidth="1"/>
    <col min="6" max="6" width="7.09765625" style="3" customWidth="1"/>
    <col min="7" max="7" width="8.5" style="3" customWidth="1"/>
    <col min="8" max="8" width="9.09765625" style="3" customWidth="1"/>
    <col min="9" max="9" width="8.19921875" style="3" customWidth="1"/>
    <col min="10" max="10" width="7.8984375" style="3" customWidth="1"/>
    <col min="11" max="13" width="8.5" style="3" customWidth="1"/>
    <col min="14" max="14" width="6.69921875" style="3" customWidth="1"/>
    <col min="15" max="15" width="8.5" style="3" customWidth="1"/>
    <col min="16" max="16" width="9" style="3" customWidth="1"/>
    <col min="17" max="17" width="8.5" style="3" customWidth="1"/>
    <col min="18" max="18" width="7.3984375" style="3" customWidth="1"/>
    <col min="19" max="21" width="8.5" style="3" customWidth="1"/>
    <col min="22" max="22" width="8.19921875" style="3" customWidth="1"/>
    <col min="23" max="23" width="8.5" style="3" customWidth="1"/>
    <col min="24" max="24" width="9.09765625" style="3" customWidth="1"/>
    <col min="25" max="26" width="8.5" style="3" customWidth="1"/>
    <col min="27" max="16384" width="9" style="3" customWidth="1"/>
  </cols>
  <sheetData>
    <row r="1" spans="1:26" ht="16.5" customHeight="1">
      <c r="A1" s="832" t="s">
        <v>794</v>
      </c>
      <c r="B1" s="832"/>
      <c r="C1" s="832"/>
      <c r="D1" s="832"/>
      <c r="E1" s="1"/>
      <c r="F1" s="1"/>
      <c r="G1" s="1"/>
      <c r="H1" s="1"/>
      <c r="I1" s="1"/>
      <c r="J1" s="2"/>
      <c r="K1" s="2"/>
      <c r="L1" s="2"/>
      <c r="M1" s="832" t="s">
        <v>809</v>
      </c>
      <c r="N1" s="832"/>
      <c r="O1" s="832"/>
      <c r="P1" s="832"/>
      <c r="Q1" s="832"/>
      <c r="R1" s="832"/>
      <c r="S1" s="832"/>
      <c r="T1" s="832"/>
      <c r="U1" s="832"/>
      <c r="V1" s="832"/>
      <c r="W1" s="832"/>
      <c r="X1" s="832"/>
      <c r="Y1" s="832"/>
      <c r="Z1" s="832"/>
    </row>
    <row r="2" spans="1:26" ht="16.5">
      <c r="A2" s="833" t="s">
        <v>260</v>
      </c>
      <c r="B2" s="833"/>
      <c r="C2" s="833"/>
      <c r="D2" s="833"/>
      <c r="E2" s="1"/>
      <c r="F2" s="1"/>
      <c r="G2" s="1"/>
      <c r="H2" s="1"/>
      <c r="I2" s="1"/>
      <c r="J2" s="2"/>
      <c r="K2" s="2"/>
      <c r="L2" s="2"/>
      <c r="M2" s="834" t="s">
        <v>810</v>
      </c>
      <c r="N2" s="834"/>
      <c r="O2" s="834"/>
      <c r="P2" s="834"/>
      <c r="Q2" s="834"/>
      <c r="R2" s="834"/>
      <c r="S2" s="834"/>
      <c r="T2" s="834"/>
      <c r="U2" s="834"/>
      <c r="V2" s="834"/>
      <c r="W2" s="834"/>
      <c r="X2" s="834"/>
      <c r="Y2" s="834"/>
      <c r="Z2" s="834"/>
    </row>
    <row r="3" spans="1:26" ht="15.75">
      <c r="A3" s="810" t="s">
        <v>811</v>
      </c>
      <c r="B3" s="810"/>
      <c r="C3" s="810"/>
      <c r="D3" s="810"/>
      <c r="E3" s="1"/>
      <c r="F3" s="1"/>
      <c r="G3" s="1"/>
      <c r="H3" s="1"/>
      <c r="I3" s="1"/>
      <c r="J3" s="2"/>
      <c r="K3" s="2"/>
      <c r="L3" s="2"/>
      <c r="M3" s="821" t="s">
        <v>802</v>
      </c>
      <c r="N3" s="821"/>
      <c r="O3" s="821"/>
      <c r="P3" s="821"/>
      <c r="Q3" s="821"/>
      <c r="R3" s="821"/>
      <c r="S3" s="821"/>
      <c r="T3" s="821"/>
      <c r="U3" s="821"/>
      <c r="V3" s="821"/>
      <c r="W3" s="821"/>
      <c r="X3" s="821"/>
      <c r="Y3" s="821"/>
      <c r="Z3" s="821"/>
    </row>
    <row r="4" spans="1:27" ht="15.75" customHeight="1">
      <c r="A4" s="699"/>
      <c r="B4" s="699"/>
      <c r="C4" s="2"/>
      <c r="D4" s="2"/>
      <c r="E4" s="2"/>
      <c r="F4" s="2"/>
      <c r="G4" s="2"/>
      <c r="H4" s="2"/>
      <c r="I4" s="2"/>
      <c r="J4" s="2"/>
      <c r="K4" s="2"/>
      <c r="L4" s="2"/>
      <c r="M4" s="2"/>
      <c r="N4" s="2"/>
      <c r="O4" s="2"/>
      <c r="P4" s="2"/>
      <c r="Q4" s="2"/>
      <c r="R4" s="2"/>
      <c r="S4" s="733"/>
      <c r="T4" s="733"/>
      <c r="U4" s="733"/>
      <c r="V4" s="733"/>
      <c r="W4" s="733"/>
      <c r="X4" s="733"/>
      <c r="Y4" s="733"/>
      <c r="Z4" s="733"/>
      <c r="AA4" s="477"/>
    </row>
    <row r="5" spans="1:26" ht="18.75">
      <c r="A5" s="727" t="s">
        <v>831</v>
      </c>
      <c r="B5" s="727"/>
      <c r="C5" s="727"/>
      <c r="D5" s="727"/>
      <c r="E5" s="727"/>
      <c r="F5" s="727"/>
      <c r="G5" s="727"/>
      <c r="H5" s="727"/>
      <c r="I5" s="727"/>
      <c r="J5" s="727"/>
      <c r="K5" s="727"/>
      <c r="L5" s="727"/>
      <c r="M5" s="727"/>
      <c r="N5" s="727"/>
      <c r="O5" s="727"/>
      <c r="P5" s="727"/>
      <c r="Q5" s="727"/>
      <c r="R5" s="727"/>
      <c r="S5" s="727"/>
      <c r="T5" s="727"/>
      <c r="U5" s="727"/>
      <c r="V5" s="727"/>
      <c r="W5" s="727"/>
      <c r="X5" s="727"/>
      <c r="Y5" s="727"/>
      <c r="Z5" s="727"/>
    </row>
    <row r="6" spans="1:26" ht="21" customHeight="1">
      <c r="A6" s="727" t="s">
        <v>475</v>
      </c>
      <c r="B6" s="727"/>
      <c r="C6" s="727"/>
      <c r="D6" s="727"/>
      <c r="E6" s="727"/>
      <c r="F6" s="727"/>
      <c r="G6" s="727"/>
      <c r="H6" s="727"/>
      <c r="I6" s="727"/>
      <c r="J6" s="727"/>
      <c r="K6" s="727"/>
      <c r="L6" s="727"/>
      <c r="M6" s="727"/>
      <c r="N6" s="727"/>
      <c r="O6" s="727"/>
      <c r="P6" s="727"/>
      <c r="Q6" s="727"/>
      <c r="R6" s="727"/>
      <c r="S6" s="727"/>
      <c r="T6" s="727"/>
      <c r="U6" s="727"/>
      <c r="V6" s="727"/>
      <c r="W6" s="727"/>
      <c r="X6" s="727"/>
      <c r="Y6" s="727"/>
      <c r="Z6" s="727"/>
    </row>
    <row r="7" spans="1:26" ht="18.75">
      <c r="A7" s="856" t="s">
        <v>800</v>
      </c>
      <c r="B7" s="856"/>
      <c r="C7" s="856"/>
      <c r="D7" s="856"/>
      <c r="E7" s="856"/>
      <c r="F7" s="856"/>
      <c r="G7" s="856"/>
      <c r="H7" s="856"/>
      <c r="I7" s="856"/>
      <c r="J7" s="856"/>
      <c r="K7" s="856"/>
      <c r="L7" s="856"/>
      <c r="M7" s="856"/>
      <c r="N7" s="856"/>
      <c r="O7" s="856"/>
      <c r="P7" s="856"/>
      <c r="Q7" s="856"/>
      <c r="R7" s="856"/>
      <c r="S7" s="856"/>
      <c r="T7" s="856"/>
      <c r="U7" s="856"/>
      <c r="V7" s="856"/>
      <c r="W7" s="856"/>
      <c r="X7" s="856"/>
      <c r="Y7" s="856"/>
      <c r="Z7" s="856"/>
    </row>
    <row r="8" spans="1:26" ht="15.75">
      <c r="A8" s="857" t="s">
        <v>799</v>
      </c>
      <c r="B8" s="854"/>
      <c r="C8" s="854"/>
      <c r="D8" s="854"/>
      <c r="E8" s="854"/>
      <c r="F8" s="854"/>
      <c r="G8" s="854"/>
      <c r="H8" s="854"/>
      <c r="I8" s="854"/>
      <c r="J8" s="854"/>
      <c r="K8" s="854"/>
      <c r="L8" s="854"/>
      <c r="M8" s="854"/>
      <c r="N8" s="854"/>
      <c r="O8" s="854"/>
      <c r="P8" s="854"/>
      <c r="Q8" s="854"/>
      <c r="R8" s="854"/>
      <c r="S8" s="854"/>
      <c r="T8" s="854"/>
      <c r="U8" s="854"/>
      <c r="V8" s="854"/>
      <c r="W8" s="854"/>
      <c r="X8" s="854"/>
      <c r="Y8" s="854"/>
      <c r="Z8" s="854"/>
    </row>
    <row r="9" spans="1:26" ht="15.75">
      <c r="A9" s="858"/>
      <c r="B9" s="855"/>
      <c r="C9" s="855"/>
      <c r="D9" s="855"/>
      <c r="E9" s="855"/>
      <c r="F9" s="855"/>
      <c r="G9" s="855"/>
      <c r="H9" s="855"/>
      <c r="I9" s="855"/>
      <c r="J9" s="855"/>
      <c r="K9" s="855"/>
      <c r="L9" s="855"/>
      <c r="M9" s="855"/>
      <c r="N9" s="855"/>
      <c r="O9" s="855"/>
      <c r="P9" s="855"/>
      <c r="Q9" s="855"/>
      <c r="R9" s="855"/>
      <c r="S9" s="855"/>
      <c r="T9" s="855"/>
      <c r="U9" s="855"/>
      <c r="V9" s="855"/>
      <c r="W9" s="855"/>
      <c r="X9" s="855"/>
      <c r="Y9" s="855"/>
      <c r="Z9" s="855"/>
    </row>
    <row r="10" spans="1:26" ht="19.5" customHeight="1">
      <c r="A10" s="5"/>
      <c r="B10" s="5"/>
      <c r="E10" s="735"/>
      <c r="F10" s="735"/>
      <c r="G10" s="735"/>
      <c r="H10" s="735"/>
      <c r="I10" s="735"/>
      <c r="J10" s="735"/>
      <c r="M10" s="735"/>
      <c r="N10" s="735"/>
      <c r="O10" s="735"/>
      <c r="P10" s="735"/>
      <c r="Q10" s="735"/>
      <c r="R10" s="735"/>
      <c r="T10" s="712" t="s">
        <v>0</v>
      </c>
      <c r="U10" s="712"/>
      <c r="V10" s="712"/>
      <c r="W10" s="712"/>
      <c r="X10" s="712"/>
      <c r="Y10" s="712"/>
      <c r="Z10" s="712"/>
    </row>
    <row r="11" spans="1:26" ht="27.75" customHeight="1">
      <c r="A11" s="708" t="s">
        <v>132</v>
      </c>
      <c r="B11" s="708" t="s">
        <v>69</v>
      </c>
      <c r="C11" s="710" t="s">
        <v>81</v>
      </c>
      <c r="D11" s="710"/>
      <c r="E11" s="710"/>
      <c r="F11" s="710"/>
      <c r="G11" s="710"/>
      <c r="H11" s="710"/>
      <c r="I11" s="710"/>
      <c r="J11" s="710"/>
      <c r="K11" s="710" t="s">
        <v>3</v>
      </c>
      <c r="L11" s="710"/>
      <c r="M11" s="710"/>
      <c r="N11" s="710"/>
      <c r="O11" s="710"/>
      <c r="P11" s="710"/>
      <c r="Q11" s="710"/>
      <c r="R11" s="710"/>
      <c r="S11" s="710" t="s">
        <v>4</v>
      </c>
      <c r="T11" s="710"/>
      <c r="U11" s="710"/>
      <c r="V11" s="710"/>
      <c r="W11" s="710"/>
      <c r="X11" s="710"/>
      <c r="Y11" s="710"/>
      <c r="Z11" s="710"/>
    </row>
    <row r="12" spans="1:26" ht="27.75" customHeight="1">
      <c r="A12" s="708"/>
      <c r="B12" s="708"/>
      <c r="C12" s="708" t="s">
        <v>63</v>
      </c>
      <c r="D12" s="708" t="s">
        <v>108</v>
      </c>
      <c r="E12" s="708" t="s">
        <v>109</v>
      </c>
      <c r="F12" s="708"/>
      <c r="G12" s="708"/>
      <c r="H12" s="708"/>
      <c r="I12" s="708"/>
      <c r="J12" s="708"/>
      <c r="K12" s="708" t="s">
        <v>63</v>
      </c>
      <c r="L12" s="708" t="s">
        <v>108</v>
      </c>
      <c r="M12" s="708" t="s">
        <v>109</v>
      </c>
      <c r="N12" s="708"/>
      <c r="O12" s="708"/>
      <c r="P12" s="708"/>
      <c r="Q12" s="708"/>
      <c r="R12" s="708"/>
      <c r="S12" s="708" t="s">
        <v>63</v>
      </c>
      <c r="T12" s="708" t="s">
        <v>108</v>
      </c>
      <c r="U12" s="708" t="s">
        <v>109</v>
      </c>
      <c r="V12" s="708"/>
      <c r="W12" s="708"/>
      <c r="X12" s="708"/>
      <c r="Y12" s="708"/>
      <c r="Z12" s="708"/>
    </row>
    <row r="13" spans="1:26" ht="27.75" customHeight="1">
      <c r="A13" s="708"/>
      <c r="B13" s="708"/>
      <c r="C13" s="708"/>
      <c r="D13" s="708"/>
      <c r="E13" s="708" t="s">
        <v>63</v>
      </c>
      <c r="F13" s="708" t="s">
        <v>110</v>
      </c>
      <c r="G13" s="708"/>
      <c r="H13" s="708" t="s">
        <v>111</v>
      </c>
      <c r="I13" s="708" t="s">
        <v>112</v>
      </c>
      <c r="J13" s="708" t="s">
        <v>113</v>
      </c>
      <c r="K13" s="708"/>
      <c r="L13" s="708"/>
      <c r="M13" s="708" t="s">
        <v>63</v>
      </c>
      <c r="N13" s="708" t="s">
        <v>110</v>
      </c>
      <c r="O13" s="708"/>
      <c r="P13" s="708" t="s">
        <v>111</v>
      </c>
      <c r="Q13" s="708" t="s">
        <v>112</v>
      </c>
      <c r="R13" s="708" t="s">
        <v>113</v>
      </c>
      <c r="S13" s="708"/>
      <c r="T13" s="708"/>
      <c r="U13" s="708" t="s">
        <v>63</v>
      </c>
      <c r="V13" s="708" t="s">
        <v>110</v>
      </c>
      <c r="W13" s="708"/>
      <c r="X13" s="708" t="s">
        <v>111</v>
      </c>
      <c r="Y13" s="708" t="s">
        <v>112</v>
      </c>
      <c r="Z13" s="708" t="s">
        <v>113</v>
      </c>
    </row>
    <row r="14" spans="1:26" ht="27.75" customHeight="1">
      <c r="A14" s="708"/>
      <c r="B14" s="708"/>
      <c r="C14" s="708"/>
      <c r="D14" s="708"/>
      <c r="E14" s="708"/>
      <c r="F14" s="708" t="s">
        <v>114</v>
      </c>
      <c r="G14" s="708" t="s">
        <v>115</v>
      </c>
      <c r="H14" s="708"/>
      <c r="I14" s="708"/>
      <c r="J14" s="708"/>
      <c r="K14" s="708"/>
      <c r="L14" s="708"/>
      <c r="M14" s="708"/>
      <c r="N14" s="708" t="s">
        <v>114</v>
      </c>
      <c r="O14" s="708" t="s">
        <v>115</v>
      </c>
      <c r="P14" s="708"/>
      <c r="Q14" s="708"/>
      <c r="R14" s="708"/>
      <c r="S14" s="708"/>
      <c r="T14" s="708"/>
      <c r="U14" s="708"/>
      <c r="V14" s="708" t="s">
        <v>114</v>
      </c>
      <c r="W14" s="708" t="s">
        <v>115</v>
      </c>
      <c r="X14" s="708"/>
      <c r="Y14" s="708"/>
      <c r="Z14" s="708"/>
    </row>
    <row r="15" spans="1:26" ht="27.75" customHeight="1">
      <c r="A15" s="708"/>
      <c r="B15" s="708"/>
      <c r="C15" s="708"/>
      <c r="D15" s="708"/>
      <c r="E15" s="708"/>
      <c r="F15" s="708"/>
      <c r="G15" s="708"/>
      <c r="H15" s="708"/>
      <c r="I15" s="708"/>
      <c r="J15" s="708"/>
      <c r="K15" s="708"/>
      <c r="L15" s="708"/>
      <c r="M15" s="708"/>
      <c r="N15" s="708"/>
      <c r="O15" s="708"/>
      <c r="P15" s="708"/>
      <c r="Q15" s="708"/>
      <c r="R15" s="708"/>
      <c r="S15" s="708"/>
      <c r="T15" s="708"/>
      <c r="U15" s="708"/>
      <c r="V15" s="708"/>
      <c r="W15" s="708"/>
      <c r="X15" s="708"/>
      <c r="Y15" s="708"/>
      <c r="Z15" s="708"/>
    </row>
    <row r="16" spans="1:26" ht="27.75" customHeight="1">
      <c r="A16" s="708"/>
      <c r="B16" s="708"/>
      <c r="C16" s="708"/>
      <c r="D16" s="708"/>
      <c r="E16" s="708"/>
      <c r="F16" s="708"/>
      <c r="G16" s="708"/>
      <c r="H16" s="708"/>
      <c r="I16" s="708"/>
      <c r="J16" s="708"/>
      <c r="K16" s="708"/>
      <c r="L16" s="708"/>
      <c r="M16" s="708"/>
      <c r="N16" s="708"/>
      <c r="O16" s="708"/>
      <c r="P16" s="708"/>
      <c r="Q16" s="708"/>
      <c r="R16" s="708"/>
      <c r="S16" s="708"/>
      <c r="T16" s="708"/>
      <c r="U16" s="708"/>
      <c r="V16" s="708"/>
      <c r="W16" s="708"/>
      <c r="X16" s="708"/>
      <c r="Y16" s="708"/>
      <c r="Z16" s="708"/>
    </row>
    <row r="17" spans="1:26" ht="27.75" customHeight="1">
      <c r="A17" s="708"/>
      <c r="B17" s="708"/>
      <c r="C17" s="708"/>
      <c r="D17" s="708"/>
      <c r="E17" s="708"/>
      <c r="F17" s="708"/>
      <c r="G17" s="708"/>
      <c r="H17" s="708"/>
      <c r="I17" s="708"/>
      <c r="J17" s="708"/>
      <c r="K17" s="708"/>
      <c r="L17" s="708"/>
      <c r="M17" s="708"/>
      <c r="N17" s="708"/>
      <c r="O17" s="708"/>
      <c r="P17" s="708"/>
      <c r="Q17" s="708"/>
      <c r="R17" s="708"/>
      <c r="S17" s="708"/>
      <c r="T17" s="708"/>
      <c r="U17" s="708"/>
      <c r="V17" s="708"/>
      <c r="W17" s="708"/>
      <c r="X17" s="708"/>
      <c r="Y17" s="708"/>
      <c r="Z17" s="708"/>
    </row>
    <row r="18" spans="1:26" ht="27.75" customHeight="1">
      <c r="A18" s="708"/>
      <c r="B18" s="708"/>
      <c r="C18" s="708"/>
      <c r="D18" s="708"/>
      <c r="E18" s="708"/>
      <c r="F18" s="708"/>
      <c r="G18" s="708"/>
      <c r="H18" s="708"/>
      <c r="I18" s="708"/>
      <c r="J18" s="708"/>
      <c r="K18" s="708"/>
      <c r="L18" s="708"/>
      <c r="M18" s="708"/>
      <c r="N18" s="708"/>
      <c r="O18" s="708"/>
      <c r="P18" s="708"/>
      <c r="Q18" s="708"/>
      <c r="R18" s="708"/>
      <c r="S18" s="708"/>
      <c r="T18" s="708"/>
      <c r="U18" s="708"/>
      <c r="V18" s="708"/>
      <c r="W18" s="708"/>
      <c r="X18" s="708"/>
      <c r="Y18" s="708"/>
      <c r="Z18" s="708"/>
    </row>
    <row r="19" spans="1:26" s="9" customFormat="1" ht="30" customHeight="1">
      <c r="A19" s="8" t="s">
        <v>5</v>
      </c>
      <c r="B19" s="8" t="s">
        <v>6</v>
      </c>
      <c r="C19" s="8">
        <v>1</v>
      </c>
      <c r="D19" s="8">
        <f>C19+1</f>
        <v>2</v>
      </c>
      <c r="E19" s="8" t="s">
        <v>116</v>
      </c>
      <c r="F19" s="8">
        <v>4</v>
      </c>
      <c r="G19" s="8">
        <f aca="true" t="shared" si="0" ref="G19:L19">F19+1</f>
        <v>5</v>
      </c>
      <c r="H19" s="8">
        <f t="shared" si="0"/>
        <v>6</v>
      </c>
      <c r="I19" s="8">
        <f t="shared" si="0"/>
        <v>7</v>
      </c>
      <c r="J19" s="8">
        <f t="shared" si="0"/>
        <v>8</v>
      </c>
      <c r="K19" s="8">
        <f t="shared" si="0"/>
        <v>9</v>
      </c>
      <c r="L19" s="8">
        <f t="shared" si="0"/>
        <v>10</v>
      </c>
      <c r="M19" s="167" t="s">
        <v>117</v>
      </c>
      <c r="N19" s="8">
        <v>12</v>
      </c>
      <c r="O19" s="8">
        <f>N19+1</f>
        <v>13</v>
      </c>
      <c r="P19" s="8">
        <f>O19+1</f>
        <v>14</v>
      </c>
      <c r="Q19" s="8">
        <f>P19+1</f>
        <v>15</v>
      </c>
      <c r="R19" s="8">
        <f>Q19+1</f>
        <v>16</v>
      </c>
      <c r="S19" s="8" t="s">
        <v>118</v>
      </c>
      <c r="T19" s="8" t="s">
        <v>119</v>
      </c>
      <c r="U19" s="8" t="s">
        <v>120</v>
      </c>
      <c r="V19" s="8" t="s">
        <v>121</v>
      </c>
      <c r="W19" s="8" t="s">
        <v>122</v>
      </c>
      <c r="X19" s="8" t="s">
        <v>123</v>
      </c>
      <c r="Y19" s="8" t="s">
        <v>124</v>
      </c>
      <c r="Z19" s="8" t="s">
        <v>125</v>
      </c>
    </row>
    <row r="20" spans="1:26" s="369" customFormat="1" ht="19.5" customHeight="1">
      <c r="A20" s="363"/>
      <c r="B20" s="363" t="s">
        <v>70</v>
      </c>
      <c r="C20" s="132">
        <f>C21+C23</f>
        <v>217600.462</v>
      </c>
      <c r="D20" s="132">
        <f aca="true" t="shared" si="1" ref="D20:V20">D21+D23</f>
        <v>196580.462</v>
      </c>
      <c r="E20" s="132">
        <f t="shared" si="1"/>
        <v>21020</v>
      </c>
      <c r="F20" s="132">
        <f t="shared" si="1"/>
        <v>0</v>
      </c>
      <c r="G20" s="132">
        <f t="shared" si="1"/>
        <v>21020</v>
      </c>
      <c r="H20" s="132">
        <f t="shared" si="1"/>
        <v>5952.3</v>
      </c>
      <c r="I20" s="132">
        <f t="shared" si="1"/>
        <v>15067.7</v>
      </c>
      <c r="J20" s="132">
        <f t="shared" si="1"/>
        <v>0</v>
      </c>
      <c r="K20" s="132">
        <f>K21+K23</f>
        <v>312679.2355</v>
      </c>
      <c r="L20" s="132">
        <f t="shared" si="1"/>
        <v>196580.462</v>
      </c>
      <c r="M20" s="132">
        <f t="shared" si="1"/>
        <v>116098.7735</v>
      </c>
      <c r="N20" s="132">
        <f t="shared" si="1"/>
        <v>0</v>
      </c>
      <c r="O20" s="132">
        <f t="shared" si="1"/>
        <v>116098.7735</v>
      </c>
      <c r="P20" s="132">
        <f>P21+P23</f>
        <v>5153.1449999999995</v>
      </c>
      <c r="Q20" s="132">
        <f t="shared" si="1"/>
        <v>105686.67450000001</v>
      </c>
      <c r="R20" s="132">
        <f t="shared" si="1"/>
        <v>5258.954</v>
      </c>
      <c r="S20" s="132">
        <f>K20/C20*100</f>
        <v>143.69419652243204</v>
      </c>
      <c r="T20" s="132">
        <f aca="true" t="shared" si="2" ref="T20:T32">L20/D20*100</f>
        <v>100</v>
      </c>
      <c r="U20" s="132">
        <f aca="true" t="shared" si="3" ref="U20:U31">M20/E20*100</f>
        <v>552.3252783063748</v>
      </c>
      <c r="V20" s="132">
        <f t="shared" si="1"/>
        <v>0</v>
      </c>
      <c r="W20" s="132">
        <f aca="true" t="shared" si="4" ref="W20:W31">O20/G20*100</f>
        <v>552.3252783063748</v>
      </c>
      <c r="X20" s="132">
        <f>P20/H20*100</f>
        <v>86.57401340658232</v>
      </c>
      <c r="Y20" s="132">
        <f>Q20/I20*100</f>
        <v>701.4121232835802</v>
      </c>
      <c r="Z20" s="132"/>
    </row>
    <row r="21" spans="1:26" s="9" customFormat="1" ht="40.5" customHeight="1">
      <c r="A21" s="8" t="s">
        <v>14</v>
      </c>
      <c r="B21" s="113" t="s">
        <v>456</v>
      </c>
      <c r="C21" s="133">
        <f>C22</f>
        <v>172800</v>
      </c>
      <c r="D21" s="133">
        <f aca="true" t="shared" si="5" ref="D21:R21">D22</f>
        <v>159099</v>
      </c>
      <c r="E21" s="133">
        <f t="shared" si="5"/>
        <v>13701</v>
      </c>
      <c r="F21" s="133">
        <f t="shared" si="5"/>
        <v>0</v>
      </c>
      <c r="G21" s="133">
        <f t="shared" si="5"/>
        <v>13701</v>
      </c>
      <c r="H21" s="133">
        <f t="shared" si="5"/>
        <v>0</v>
      </c>
      <c r="I21" s="133">
        <f t="shared" si="5"/>
        <v>13701</v>
      </c>
      <c r="J21" s="133">
        <f t="shared" si="5"/>
        <v>0</v>
      </c>
      <c r="K21" s="133">
        <f t="shared" si="5"/>
        <v>244434.52850000001</v>
      </c>
      <c r="L21" s="133">
        <f t="shared" si="5"/>
        <v>159099</v>
      </c>
      <c r="M21" s="133">
        <f t="shared" si="5"/>
        <v>85335.5285</v>
      </c>
      <c r="N21" s="133">
        <f t="shared" si="5"/>
        <v>0</v>
      </c>
      <c r="O21" s="133">
        <f t="shared" si="5"/>
        <v>85335.5285</v>
      </c>
      <c r="P21" s="133">
        <f t="shared" si="5"/>
        <v>0</v>
      </c>
      <c r="Q21" s="133">
        <f t="shared" si="5"/>
        <v>80369.7385</v>
      </c>
      <c r="R21" s="133">
        <f t="shared" si="5"/>
        <v>4965.79</v>
      </c>
      <c r="S21" s="133">
        <f>K21/C21*100</f>
        <v>141.45516695601853</v>
      </c>
      <c r="T21" s="133">
        <f t="shared" si="2"/>
        <v>100</v>
      </c>
      <c r="U21" s="133">
        <f t="shared" si="3"/>
        <v>622.8416064520837</v>
      </c>
      <c r="V21" s="362"/>
      <c r="W21" s="133">
        <f t="shared" si="4"/>
        <v>622.8416064520837</v>
      </c>
      <c r="X21" s="133"/>
      <c r="Y21" s="133">
        <f>Q21/I21*100</f>
        <v>586.5976096635283</v>
      </c>
      <c r="Z21" s="133"/>
    </row>
    <row r="22" spans="1:26" s="125" customFormat="1" ht="26.25" customHeight="1">
      <c r="A22" s="118"/>
      <c r="B22" s="119" t="s">
        <v>458</v>
      </c>
      <c r="C22" s="131">
        <f>D22+E22</f>
        <v>172800</v>
      </c>
      <c r="D22" s="131">
        <v>159099</v>
      </c>
      <c r="E22" s="131">
        <f>F22+G22</f>
        <v>13701</v>
      </c>
      <c r="F22" s="135"/>
      <c r="G22" s="131">
        <f>H22+I22+J22</f>
        <v>13701</v>
      </c>
      <c r="H22" s="137"/>
      <c r="I22" s="131">
        <v>13701</v>
      </c>
      <c r="J22" s="135"/>
      <c r="K22" s="131">
        <f>L22+M22</f>
        <v>244434.52850000001</v>
      </c>
      <c r="L22" s="131">
        <v>159099</v>
      </c>
      <c r="M22" s="131">
        <f>N22+O22</f>
        <v>85335.5285</v>
      </c>
      <c r="N22" s="135"/>
      <c r="O22" s="131">
        <f>P22+Q22+R22</f>
        <v>85335.5285</v>
      </c>
      <c r="P22" s="131">
        <v>0</v>
      </c>
      <c r="Q22" s="131">
        <f>80369738.5/1000</f>
        <v>80369.7385</v>
      </c>
      <c r="R22" s="131">
        <f>4965790/1000</f>
        <v>4965.79</v>
      </c>
      <c r="S22" s="131">
        <f>K22/C22*100</f>
        <v>141.45516695601853</v>
      </c>
      <c r="T22" s="131">
        <f t="shared" si="2"/>
        <v>100</v>
      </c>
      <c r="U22" s="131">
        <f t="shared" si="3"/>
        <v>622.8416064520837</v>
      </c>
      <c r="V22" s="509"/>
      <c r="W22" s="131">
        <f t="shared" si="4"/>
        <v>622.8416064520837</v>
      </c>
      <c r="X22" s="509"/>
      <c r="Y22" s="131">
        <f aca="true" t="shared" si="6" ref="Y22:Y28">Q22/I22*100</f>
        <v>586.5976096635283</v>
      </c>
      <c r="Z22" s="131"/>
    </row>
    <row r="23" spans="1:26" s="9" customFormat="1" ht="39" customHeight="1">
      <c r="A23" s="8" t="s">
        <v>25</v>
      </c>
      <c r="B23" s="113" t="s">
        <v>457</v>
      </c>
      <c r="C23" s="133">
        <f aca="true" t="shared" si="7" ref="C23:R23">SUM(C24:C32)</f>
        <v>44800.462</v>
      </c>
      <c r="D23" s="133">
        <f t="shared" si="7"/>
        <v>37481.462</v>
      </c>
      <c r="E23" s="133">
        <f t="shared" si="7"/>
        <v>7319</v>
      </c>
      <c r="F23" s="133">
        <f t="shared" si="7"/>
        <v>0</v>
      </c>
      <c r="G23" s="133">
        <f t="shared" si="7"/>
        <v>7319</v>
      </c>
      <c r="H23" s="133">
        <f t="shared" si="7"/>
        <v>5952.3</v>
      </c>
      <c r="I23" s="133">
        <f t="shared" si="7"/>
        <v>1366.7</v>
      </c>
      <c r="J23" s="133">
        <f t="shared" si="7"/>
        <v>0</v>
      </c>
      <c r="K23" s="133">
        <f t="shared" si="7"/>
        <v>68244.707</v>
      </c>
      <c r="L23" s="133">
        <f t="shared" si="7"/>
        <v>37481.462</v>
      </c>
      <c r="M23" s="133">
        <f t="shared" si="7"/>
        <v>30763.245</v>
      </c>
      <c r="N23" s="133">
        <f t="shared" si="7"/>
        <v>0</v>
      </c>
      <c r="O23" s="133">
        <f t="shared" si="7"/>
        <v>30763.245</v>
      </c>
      <c r="P23" s="133">
        <f t="shared" si="7"/>
        <v>5153.1449999999995</v>
      </c>
      <c r="Q23" s="133">
        <f t="shared" si="7"/>
        <v>25316.935999999998</v>
      </c>
      <c r="R23" s="133">
        <f t="shared" si="7"/>
        <v>293.164</v>
      </c>
      <c r="S23" s="133">
        <f>K23/C23*100</f>
        <v>152.33036436097467</v>
      </c>
      <c r="T23" s="133">
        <f t="shared" si="2"/>
        <v>100</v>
      </c>
      <c r="U23" s="133">
        <f>M23/E23*100</f>
        <v>420.32033064626313</v>
      </c>
      <c r="V23" s="362"/>
      <c r="W23" s="133">
        <f t="shared" si="4"/>
        <v>420.32033064626313</v>
      </c>
      <c r="X23" s="133">
        <f aca="true" t="shared" si="8" ref="X23:X31">P23/H23*100</f>
        <v>86.57401340658232</v>
      </c>
      <c r="Y23" s="133">
        <f t="shared" si="6"/>
        <v>1852.4135508890026</v>
      </c>
      <c r="Z23" s="133"/>
    </row>
    <row r="24" spans="1:26" s="125" customFormat="1" ht="21.75" customHeight="1">
      <c r="A24" s="118">
        <v>1</v>
      </c>
      <c r="B24" s="123" t="s">
        <v>250</v>
      </c>
      <c r="C24" s="131">
        <f>D24+E24</f>
        <v>4188.268</v>
      </c>
      <c r="D24" s="131">
        <f>3665268/1000</f>
        <v>3665.268</v>
      </c>
      <c r="E24" s="131">
        <f>F24+G24</f>
        <v>523</v>
      </c>
      <c r="F24" s="135"/>
      <c r="G24" s="131">
        <f>H24+I24+J24</f>
        <v>523</v>
      </c>
      <c r="H24" s="137">
        <v>0</v>
      </c>
      <c r="I24" s="131">
        <v>523</v>
      </c>
      <c r="J24" s="131"/>
      <c r="K24" s="131">
        <f>L24+M24</f>
        <v>6267.165</v>
      </c>
      <c r="L24" s="131">
        <v>3665.268</v>
      </c>
      <c r="M24" s="131">
        <f>N24+O24</f>
        <v>2601.897</v>
      </c>
      <c r="N24" s="131"/>
      <c r="O24" s="131">
        <f>P24+Q24+R24</f>
        <v>2601.897</v>
      </c>
      <c r="P24" s="137">
        <v>0</v>
      </c>
      <c r="Q24" s="131">
        <f>2601897000/1000000</f>
        <v>2601.897</v>
      </c>
      <c r="R24" s="131"/>
      <c r="S24" s="131">
        <f>K24/C24*100</f>
        <v>149.63619806564432</v>
      </c>
      <c r="T24" s="131">
        <f t="shared" si="2"/>
        <v>100</v>
      </c>
      <c r="U24" s="131">
        <f t="shared" si="3"/>
        <v>497.49464627151053</v>
      </c>
      <c r="V24" s="362"/>
      <c r="W24" s="131">
        <f>O24/G24*100</f>
        <v>497.49464627151053</v>
      </c>
      <c r="X24" s="131"/>
      <c r="Y24" s="131">
        <f t="shared" si="6"/>
        <v>497.49464627151053</v>
      </c>
      <c r="Z24" s="131"/>
    </row>
    <row r="25" spans="1:26" s="125" customFormat="1" ht="21.75" customHeight="1">
      <c r="A25" s="118">
        <f>A24+1</f>
        <v>2</v>
      </c>
      <c r="B25" s="123" t="s">
        <v>251</v>
      </c>
      <c r="C25" s="131">
        <f aca="true" t="shared" si="9" ref="C25:C31">D25+E25</f>
        <v>4184.606</v>
      </c>
      <c r="D25" s="131">
        <f>3413306/1000</f>
        <v>3413.306</v>
      </c>
      <c r="E25" s="131">
        <f aca="true" t="shared" si="10" ref="E25:E32">F25+G25</f>
        <v>771.3</v>
      </c>
      <c r="F25" s="135"/>
      <c r="G25" s="131">
        <f aca="true" t="shared" si="11" ref="G25:G32">H25+I25+J25</f>
        <v>771.3</v>
      </c>
      <c r="H25" s="137">
        <v>691.3</v>
      </c>
      <c r="I25" s="131">
        <v>80</v>
      </c>
      <c r="J25" s="131"/>
      <c r="K25" s="131">
        <f aca="true" t="shared" si="12" ref="K25:K32">L25+M25</f>
        <v>6476.701</v>
      </c>
      <c r="L25" s="131">
        <v>3413.306</v>
      </c>
      <c r="M25" s="131">
        <f aca="true" t="shared" si="13" ref="M25:M32">N25+O25</f>
        <v>3063.395</v>
      </c>
      <c r="N25" s="131"/>
      <c r="O25" s="131">
        <f aca="true" t="shared" si="14" ref="O25:O30">P25+Q25+R25</f>
        <v>3063.395</v>
      </c>
      <c r="P25" s="137">
        <v>569.436</v>
      </c>
      <c r="Q25" s="131">
        <f>2493959000/1000000</f>
        <v>2493.959</v>
      </c>
      <c r="R25" s="131"/>
      <c r="S25" s="131">
        <f aca="true" t="shared" si="15" ref="S25:S32">K25/C25*100</f>
        <v>154.77445188388108</v>
      </c>
      <c r="T25" s="131">
        <f t="shared" si="2"/>
        <v>100</v>
      </c>
      <c r="U25" s="131">
        <f t="shared" si="3"/>
        <v>397.1729547517179</v>
      </c>
      <c r="V25" s="362"/>
      <c r="W25" s="131">
        <f t="shared" si="4"/>
        <v>397.1729547517179</v>
      </c>
      <c r="X25" s="131">
        <f t="shared" si="8"/>
        <v>82.37176334442357</v>
      </c>
      <c r="Y25" s="131">
        <f t="shared" si="6"/>
        <v>3117.4487499999996</v>
      </c>
      <c r="Z25" s="131"/>
    </row>
    <row r="26" spans="1:26" s="125" customFormat="1" ht="21.75" customHeight="1">
      <c r="A26" s="118">
        <f aca="true" t="shared" si="16" ref="A26:A32">A25+1</f>
        <v>3</v>
      </c>
      <c r="B26" s="123" t="s">
        <v>252</v>
      </c>
      <c r="C26" s="131">
        <f t="shared" si="9"/>
        <v>5478.596</v>
      </c>
      <c r="D26" s="131">
        <f>4230596/1000</f>
        <v>4230.596</v>
      </c>
      <c r="E26" s="131">
        <f t="shared" si="10"/>
        <v>1248</v>
      </c>
      <c r="F26" s="135"/>
      <c r="G26" s="131">
        <f t="shared" si="11"/>
        <v>1248</v>
      </c>
      <c r="H26" s="137">
        <v>1036</v>
      </c>
      <c r="I26" s="131">
        <v>212</v>
      </c>
      <c r="J26" s="131"/>
      <c r="K26" s="131">
        <f t="shared" si="12"/>
        <v>6731.316999999999</v>
      </c>
      <c r="L26" s="131">
        <v>4230.596</v>
      </c>
      <c r="M26" s="131">
        <f t="shared" si="13"/>
        <v>2500.721</v>
      </c>
      <c r="N26" s="131"/>
      <c r="O26" s="131">
        <f t="shared" si="14"/>
        <v>2500.721</v>
      </c>
      <c r="P26" s="137">
        <v>965.779</v>
      </c>
      <c r="Q26" s="131">
        <f>1534942000/1000000</f>
        <v>1534.942</v>
      </c>
      <c r="R26" s="131"/>
      <c r="S26" s="131">
        <f t="shared" si="15"/>
        <v>122.86573056308588</v>
      </c>
      <c r="T26" s="131">
        <f t="shared" si="2"/>
        <v>100</v>
      </c>
      <c r="U26" s="131">
        <f t="shared" si="3"/>
        <v>200.37828525641027</v>
      </c>
      <c r="V26" s="362"/>
      <c r="W26" s="131">
        <f t="shared" si="4"/>
        <v>200.37828525641027</v>
      </c>
      <c r="X26" s="131">
        <f t="shared" si="8"/>
        <v>93.2219111969112</v>
      </c>
      <c r="Y26" s="131">
        <f t="shared" si="6"/>
        <v>724.0292452830189</v>
      </c>
      <c r="Z26" s="131"/>
    </row>
    <row r="27" spans="1:26" s="125" customFormat="1" ht="21.75" customHeight="1">
      <c r="A27" s="118">
        <f t="shared" si="16"/>
        <v>4</v>
      </c>
      <c r="B27" s="123" t="s">
        <v>253</v>
      </c>
      <c r="C27" s="131">
        <f t="shared" si="9"/>
        <v>3808.566</v>
      </c>
      <c r="D27" s="131">
        <f>3757566/1000</f>
        <v>3757.566</v>
      </c>
      <c r="E27" s="131">
        <f t="shared" si="10"/>
        <v>51</v>
      </c>
      <c r="F27" s="135"/>
      <c r="G27" s="131">
        <f>H27+I27+J27</f>
        <v>51</v>
      </c>
      <c r="H27" s="137">
        <v>0</v>
      </c>
      <c r="I27" s="131">
        <v>51</v>
      </c>
      <c r="J27" s="131"/>
      <c r="K27" s="131">
        <f t="shared" si="12"/>
        <v>4925.014</v>
      </c>
      <c r="L27" s="131">
        <v>3757.566</v>
      </c>
      <c r="M27" s="131">
        <f t="shared" si="13"/>
        <v>1167.448</v>
      </c>
      <c r="N27" s="131"/>
      <c r="O27" s="131">
        <f t="shared" si="14"/>
        <v>1167.448</v>
      </c>
      <c r="P27" s="137">
        <v>2.722</v>
      </c>
      <c r="Q27" s="131">
        <f>1164726000/1000000</f>
        <v>1164.726</v>
      </c>
      <c r="R27" s="131"/>
      <c r="S27" s="131">
        <f t="shared" si="15"/>
        <v>129.314130305212</v>
      </c>
      <c r="T27" s="131">
        <f t="shared" si="2"/>
        <v>100</v>
      </c>
      <c r="U27" s="131">
        <f>M27/E27*100</f>
        <v>2289.1137254901964</v>
      </c>
      <c r="V27" s="362"/>
      <c r="W27" s="131">
        <f t="shared" si="4"/>
        <v>2289.1137254901964</v>
      </c>
      <c r="X27" s="131"/>
      <c r="Y27" s="131">
        <f t="shared" si="6"/>
        <v>2283.7764705882355</v>
      </c>
      <c r="Z27" s="131"/>
    </row>
    <row r="28" spans="1:26" s="125" customFormat="1" ht="21.75" customHeight="1">
      <c r="A28" s="118">
        <f t="shared" si="16"/>
        <v>5</v>
      </c>
      <c r="B28" s="123" t="s">
        <v>254</v>
      </c>
      <c r="C28" s="131">
        <f t="shared" si="9"/>
        <v>8100</v>
      </c>
      <c r="D28" s="131">
        <f>5531300/1000</f>
        <v>5531.3</v>
      </c>
      <c r="E28" s="131">
        <f t="shared" si="10"/>
        <v>2568.7</v>
      </c>
      <c r="F28" s="135"/>
      <c r="G28" s="131">
        <f t="shared" si="11"/>
        <v>2568.7</v>
      </c>
      <c r="H28" s="137">
        <v>2465</v>
      </c>
      <c r="I28" s="131">
        <v>103.7</v>
      </c>
      <c r="J28" s="131"/>
      <c r="K28" s="131">
        <f>L28+M28</f>
        <v>13519.019</v>
      </c>
      <c r="L28" s="131">
        <v>5531.3</v>
      </c>
      <c r="M28" s="131">
        <f>N28+O28</f>
        <v>7987.719000000001</v>
      </c>
      <c r="N28" s="131"/>
      <c r="O28" s="131">
        <f>P28+Q28+R28</f>
        <v>7987.719000000001</v>
      </c>
      <c r="P28" s="137">
        <v>2167.119</v>
      </c>
      <c r="Q28" s="131">
        <f>(5820600000-145464000)/1000000</f>
        <v>5675.136</v>
      </c>
      <c r="R28" s="131">
        <v>145.464</v>
      </c>
      <c r="S28" s="131">
        <f t="shared" si="15"/>
        <v>166.90146913580247</v>
      </c>
      <c r="T28" s="131">
        <f t="shared" si="2"/>
        <v>100</v>
      </c>
      <c r="U28" s="131">
        <f t="shared" si="3"/>
        <v>310.96348347413095</v>
      </c>
      <c r="V28" s="362"/>
      <c r="W28" s="131">
        <f t="shared" si="4"/>
        <v>310.96348347413095</v>
      </c>
      <c r="X28" s="131">
        <f t="shared" si="8"/>
        <v>87.9155780933063</v>
      </c>
      <c r="Y28" s="131">
        <f t="shared" si="6"/>
        <v>5472.6480231436835</v>
      </c>
      <c r="Z28" s="131"/>
    </row>
    <row r="29" spans="1:26" s="125" customFormat="1" ht="21.75" customHeight="1">
      <c r="A29" s="118">
        <f t="shared" si="16"/>
        <v>6</v>
      </c>
      <c r="B29" s="123" t="s">
        <v>255</v>
      </c>
      <c r="C29" s="131">
        <f t="shared" si="9"/>
        <v>6023.426</v>
      </c>
      <c r="D29" s="131">
        <f>5291426/1000</f>
        <v>5291.426</v>
      </c>
      <c r="E29" s="131">
        <f t="shared" si="10"/>
        <v>732</v>
      </c>
      <c r="F29" s="135"/>
      <c r="G29" s="131">
        <f t="shared" si="11"/>
        <v>732</v>
      </c>
      <c r="H29" s="137">
        <v>732</v>
      </c>
      <c r="I29" s="131">
        <v>0</v>
      </c>
      <c r="J29" s="131"/>
      <c r="K29" s="131">
        <f t="shared" si="12"/>
        <v>11918.685</v>
      </c>
      <c r="L29" s="131">
        <v>5291.426</v>
      </c>
      <c r="M29" s="131">
        <f t="shared" si="13"/>
        <v>6627.258999999999</v>
      </c>
      <c r="N29" s="131"/>
      <c r="O29" s="131">
        <f>P29+Q29+R29</f>
        <v>6627.258999999999</v>
      </c>
      <c r="P29" s="137">
        <v>649.369</v>
      </c>
      <c r="Q29" s="131">
        <f>(5977890000-147700000)/1000000</f>
        <v>5830.19</v>
      </c>
      <c r="R29" s="131">
        <v>147.7</v>
      </c>
      <c r="S29" s="131">
        <f t="shared" si="15"/>
        <v>197.8721910089042</v>
      </c>
      <c r="T29" s="131">
        <f t="shared" si="2"/>
        <v>100</v>
      </c>
      <c r="U29" s="131">
        <f t="shared" si="3"/>
        <v>905.3632513661202</v>
      </c>
      <c r="V29" s="362"/>
      <c r="W29" s="131">
        <f t="shared" si="4"/>
        <v>905.3632513661202</v>
      </c>
      <c r="X29" s="131">
        <f t="shared" si="8"/>
        <v>88.71161202185792</v>
      </c>
      <c r="Y29" s="131"/>
      <c r="Z29" s="131"/>
    </row>
    <row r="30" spans="1:26" s="125" customFormat="1" ht="21.75" customHeight="1">
      <c r="A30" s="118">
        <f t="shared" si="16"/>
        <v>7</v>
      </c>
      <c r="B30" s="123" t="s">
        <v>256</v>
      </c>
      <c r="C30" s="131">
        <f t="shared" si="9"/>
        <v>4343</v>
      </c>
      <c r="D30" s="131">
        <f>4124000/1000</f>
        <v>4124</v>
      </c>
      <c r="E30" s="131">
        <f t="shared" si="10"/>
        <v>219</v>
      </c>
      <c r="F30" s="135"/>
      <c r="G30" s="131">
        <f t="shared" si="11"/>
        <v>219</v>
      </c>
      <c r="H30" s="137">
        <v>0</v>
      </c>
      <c r="I30" s="131">
        <v>219</v>
      </c>
      <c r="J30" s="131"/>
      <c r="K30" s="131">
        <f t="shared" si="12"/>
        <v>5539.822</v>
      </c>
      <c r="L30" s="131">
        <v>4124</v>
      </c>
      <c r="M30" s="131">
        <f t="shared" si="13"/>
        <v>1415.822</v>
      </c>
      <c r="N30" s="131"/>
      <c r="O30" s="131">
        <f t="shared" si="14"/>
        <v>1415.822</v>
      </c>
      <c r="P30" s="137">
        <v>0</v>
      </c>
      <c r="Q30" s="131">
        <f>1415822000/1000000</f>
        <v>1415.822</v>
      </c>
      <c r="R30" s="131"/>
      <c r="S30" s="131">
        <f t="shared" si="15"/>
        <v>127.55749481924936</v>
      </c>
      <c r="T30" s="131">
        <f t="shared" si="2"/>
        <v>100</v>
      </c>
      <c r="U30" s="131"/>
      <c r="V30" s="362"/>
      <c r="W30" s="131"/>
      <c r="X30" s="131"/>
      <c r="Y30" s="131">
        <f>Q30/I30*100</f>
        <v>646.4940639269406</v>
      </c>
      <c r="Z30" s="131"/>
    </row>
    <row r="31" spans="1:26" s="125" customFormat="1" ht="21.75" customHeight="1">
      <c r="A31" s="118">
        <f t="shared" si="16"/>
        <v>8</v>
      </c>
      <c r="B31" s="123" t="s">
        <v>257</v>
      </c>
      <c r="C31" s="131">
        <f t="shared" si="9"/>
        <v>4625</v>
      </c>
      <c r="D31" s="131">
        <f>3954000/1000</f>
        <v>3954</v>
      </c>
      <c r="E31" s="131">
        <f t="shared" si="10"/>
        <v>671</v>
      </c>
      <c r="F31" s="135"/>
      <c r="G31" s="131">
        <f t="shared" si="11"/>
        <v>671</v>
      </c>
      <c r="H31" s="137">
        <v>493</v>
      </c>
      <c r="I31" s="131">
        <v>178</v>
      </c>
      <c r="J31" s="131"/>
      <c r="K31" s="131">
        <f t="shared" si="12"/>
        <v>7412.619000000001</v>
      </c>
      <c r="L31" s="131">
        <v>3954</v>
      </c>
      <c r="M31" s="131">
        <f t="shared" si="13"/>
        <v>3458.619</v>
      </c>
      <c r="N31" s="131"/>
      <c r="O31" s="131">
        <f>P31+Q31+R31</f>
        <v>3458.619</v>
      </c>
      <c r="P31" s="137">
        <v>414.154</v>
      </c>
      <c r="Q31" s="131">
        <f>3044465000/1000000</f>
        <v>3044.465</v>
      </c>
      <c r="R31" s="131"/>
      <c r="S31" s="131">
        <f t="shared" si="15"/>
        <v>160.27284324324324</v>
      </c>
      <c r="T31" s="131">
        <f t="shared" si="2"/>
        <v>100</v>
      </c>
      <c r="U31" s="131">
        <f t="shared" si="3"/>
        <v>515.4424739195231</v>
      </c>
      <c r="V31" s="362"/>
      <c r="W31" s="131">
        <f t="shared" si="4"/>
        <v>515.4424739195231</v>
      </c>
      <c r="X31" s="131">
        <f t="shared" si="8"/>
        <v>84.00689655172414</v>
      </c>
      <c r="Y31" s="131">
        <f>Q31/I31*100</f>
        <v>1710.3735955056181</v>
      </c>
      <c r="Z31" s="131"/>
    </row>
    <row r="32" spans="1:26" s="125" customFormat="1" ht="21.75" customHeight="1">
      <c r="A32" s="118">
        <f t="shared" si="16"/>
        <v>9</v>
      </c>
      <c r="B32" s="123" t="s">
        <v>258</v>
      </c>
      <c r="C32" s="131">
        <f>D32+E32</f>
        <v>4049</v>
      </c>
      <c r="D32" s="131">
        <f>3514000/1000</f>
        <v>3514</v>
      </c>
      <c r="E32" s="135">
        <f t="shared" si="10"/>
        <v>535</v>
      </c>
      <c r="F32" s="135"/>
      <c r="G32" s="137">
        <f t="shared" si="11"/>
        <v>535</v>
      </c>
      <c r="H32" s="137">
        <v>535</v>
      </c>
      <c r="I32" s="131">
        <v>0</v>
      </c>
      <c r="J32" s="131"/>
      <c r="K32" s="131">
        <f t="shared" si="12"/>
        <v>5454.365</v>
      </c>
      <c r="L32" s="131">
        <v>3514</v>
      </c>
      <c r="M32" s="137">
        <f t="shared" si="13"/>
        <v>1940.365</v>
      </c>
      <c r="N32" s="135"/>
      <c r="O32" s="131">
        <f>P32+Q32+R32</f>
        <v>1940.365</v>
      </c>
      <c r="P32" s="137">
        <v>384.566</v>
      </c>
      <c r="Q32" s="131">
        <f>1555799000/1000000</f>
        <v>1555.799</v>
      </c>
      <c r="R32" s="131"/>
      <c r="S32" s="131">
        <f t="shared" si="15"/>
        <v>134.70894047913063</v>
      </c>
      <c r="T32" s="131">
        <f t="shared" si="2"/>
        <v>100</v>
      </c>
      <c r="U32" s="131"/>
      <c r="V32" s="362"/>
      <c r="W32" s="131"/>
      <c r="X32" s="131"/>
      <c r="Y32" s="131"/>
      <c r="Z32" s="131"/>
    </row>
    <row r="33" spans="1:2" ht="26.25" customHeight="1" hidden="1">
      <c r="A33" s="18" t="s">
        <v>179</v>
      </c>
      <c r="B33" s="45"/>
    </row>
    <row r="34" spans="1:2" ht="15.75">
      <c r="A34" s="18"/>
      <c r="B34" s="5"/>
    </row>
    <row r="44" ht="22.5" customHeight="1"/>
  </sheetData>
  <sheetProtection/>
  <mergeCells count="50">
    <mergeCell ref="A5:Z5"/>
    <mergeCell ref="A7:Z7"/>
    <mergeCell ref="A8:Z8"/>
    <mergeCell ref="A6:Z6"/>
    <mergeCell ref="A3:D3"/>
    <mergeCell ref="M1:Z1"/>
    <mergeCell ref="M2:Z2"/>
    <mergeCell ref="M3:Z3"/>
    <mergeCell ref="X13:X18"/>
    <mergeCell ref="Y13:Y18"/>
    <mergeCell ref="Z13:Z18"/>
    <mergeCell ref="N14:N18"/>
    <mergeCell ref="O14:O18"/>
    <mergeCell ref="V14:V18"/>
    <mergeCell ref="T12:T18"/>
    <mergeCell ref="U12:Z12"/>
    <mergeCell ref="N13:O13"/>
    <mergeCell ref="P13:P18"/>
    <mergeCell ref="W14:W18"/>
    <mergeCell ref="U13:U18"/>
    <mergeCell ref="V13:W13"/>
    <mergeCell ref="H13:H18"/>
    <mergeCell ref="I13:I18"/>
    <mergeCell ref="J13:J18"/>
    <mergeCell ref="E13:E18"/>
    <mergeCell ref="F13:G13"/>
    <mergeCell ref="F14:F18"/>
    <mergeCell ref="G14:G18"/>
    <mergeCell ref="M13:M18"/>
    <mergeCell ref="D12:D18"/>
    <mergeCell ref="E12:J12"/>
    <mergeCell ref="K12:K18"/>
    <mergeCell ref="L12:L18"/>
    <mergeCell ref="A11:A18"/>
    <mergeCell ref="B11:B18"/>
    <mergeCell ref="C11:J11"/>
    <mergeCell ref="K11:R11"/>
    <mergeCell ref="S11:Z11"/>
    <mergeCell ref="C12:C18"/>
    <mergeCell ref="M12:R12"/>
    <mergeCell ref="S12:S18"/>
    <mergeCell ref="Q13:Q18"/>
    <mergeCell ref="R13:R18"/>
    <mergeCell ref="A4:B4"/>
    <mergeCell ref="E10:J10"/>
    <mergeCell ref="M10:R10"/>
    <mergeCell ref="T10:Z10"/>
    <mergeCell ref="S4:Z4"/>
    <mergeCell ref="A1:D1"/>
    <mergeCell ref="A2:D2"/>
  </mergeCells>
  <printOptions horizontalCentered="1"/>
  <pageMargins left="0.31496062992125984" right="0.2362204724409449" top="0.6299212598425197" bottom="0.2362204724409449" header="0.4724409448818898" footer="0.15748031496062992"/>
  <pageSetup fitToHeight="5" fitToWidth="1" horizontalDpi="600" verticalDpi="600" orientation="landscape" paperSize="9" scale="57" r:id="rId1"/>
  <headerFooter alignWithMargins="0">
    <oddFooter>&amp;C&amp;".VnTime,Italic"&amp;8
</oddFooter>
  </headerFooter>
</worksheet>
</file>

<file path=xl/worksheets/sheet13.xml><?xml version="1.0" encoding="utf-8"?>
<worksheet xmlns="http://schemas.openxmlformats.org/spreadsheetml/2006/main" xmlns:r="http://schemas.openxmlformats.org/officeDocument/2006/relationships">
  <sheetPr>
    <tabColor rgb="FF00B0F0"/>
  </sheetPr>
  <dimension ref="A1:I41"/>
  <sheetViews>
    <sheetView workbookViewId="0" topLeftCell="A10">
      <selection activeCell="A1" sqref="A1:H5"/>
    </sheetView>
  </sheetViews>
  <sheetFormatPr defaultColWidth="8.796875" defaultRowHeight="15"/>
  <cols>
    <col min="1" max="1" width="5.09765625" style="24" customWidth="1"/>
    <col min="2" max="2" width="26.59765625" style="24" customWidth="1"/>
    <col min="3" max="3" width="8.8984375" style="24" customWidth="1"/>
    <col min="4" max="4" width="10.19921875" style="24" customWidth="1"/>
    <col min="5" max="5" width="10.5" style="24" customWidth="1"/>
    <col min="6" max="6" width="9.59765625" style="326" customWidth="1"/>
    <col min="7" max="7" width="10.59765625" style="24" customWidth="1"/>
    <col min="8" max="8" width="9.5" style="24" customWidth="1"/>
    <col min="9" max="9" width="12.3984375" style="24" bestFit="1" customWidth="1"/>
    <col min="10" max="16384" width="9" style="24" customWidth="1"/>
  </cols>
  <sheetData>
    <row r="1" spans="1:8" ht="16.5">
      <c r="A1" s="860" t="s">
        <v>794</v>
      </c>
      <c r="B1" s="860"/>
      <c r="C1" s="860" t="s">
        <v>809</v>
      </c>
      <c r="D1" s="860"/>
      <c r="E1" s="860"/>
      <c r="F1" s="860"/>
      <c r="G1" s="860"/>
      <c r="H1" s="860"/>
    </row>
    <row r="2" spans="1:8" ht="16.5">
      <c r="A2" s="860" t="s">
        <v>260</v>
      </c>
      <c r="B2" s="860"/>
      <c r="C2" s="860" t="s">
        <v>810</v>
      </c>
      <c r="D2" s="860"/>
      <c r="E2" s="860"/>
      <c r="F2" s="860"/>
      <c r="G2" s="860"/>
      <c r="H2" s="860"/>
    </row>
    <row r="3" spans="1:8" ht="15.75">
      <c r="A3" s="805" t="s">
        <v>798</v>
      </c>
      <c r="B3" s="699"/>
      <c r="C3" s="861" t="s">
        <v>824</v>
      </c>
      <c r="D3" s="859"/>
      <c r="E3" s="859"/>
      <c r="F3" s="859"/>
      <c r="G3" s="859"/>
      <c r="H3" s="859"/>
    </row>
    <row r="4" spans="1:9" ht="15.75">
      <c r="A4" s="699"/>
      <c r="B4" s="699"/>
      <c r="C4" s="23"/>
      <c r="D4" s="23"/>
      <c r="E4" s="698"/>
      <c r="F4" s="698"/>
      <c r="G4" s="698"/>
      <c r="H4" s="698"/>
      <c r="I4" s="475"/>
    </row>
    <row r="5" spans="1:8" ht="18.75">
      <c r="A5" s="727" t="s">
        <v>832</v>
      </c>
      <c r="B5" s="727"/>
      <c r="C5" s="727"/>
      <c r="D5" s="727"/>
      <c r="E5" s="727"/>
      <c r="F5" s="727"/>
      <c r="G5" s="727"/>
      <c r="H5" s="727"/>
    </row>
    <row r="6" spans="1:8" s="143" customFormat="1" ht="18.75">
      <c r="A6" s="862" t="s">
        <v>474</v>
      </c>
      <c r="B6" s="862"/>
      <c r="C6" s="862"/>
      <c r="D6" s="862"/>
      <c r="E6" s="862"/>
      <c r="F6" s="862"/>
      <c r="G6" s="862"/>
      <c r="H6" s="862"/>
    </row>
    <row r="7" spans="1:8" ht="18.75">
      <c r="A7" s="863" t="s">
        <v>800</v>
      </c>
      <c r="B7" s="863"/>
      <c r="C7" s="863"/>
      <c r="D7" s="863"/>
      <c r="E7" s="863"/>
      <c r="F7" s="863"/>
      <c r="G7" s="863"/>
      <c r="H7" s="863"/>
    </row>
    <row r="8" spans="1:8" ht="18.75">
      <c r="A8" s="864" t="s">
        <v>803</v>
      </c>
      <c r="B8" s="863"/>
      <c r="C8" s="863"/>
      <c r="D8" s="863"/>
      <c r="E8" s="863"/>
      <c r="F8" s="863"/>
      <c r="G8" s="863"/>
      <c r="H8" s="863"/>
    </row>
    <row r="9" spans="1:8" ht="14.25" customHeight="1">
      <c r="A9" s="46"/>
      <c r="B9" s="46"/>
      <c r="C9" s="23"/>
      <c r="D9" s="23"/>
      <c r="E9" s="23"/>
      <c r="F9" s="325"/>
      <c r="G9" s="23"/>
      <c r="H9" s="23"/>
    </row>
    <row r="10" spans="1:8" ht="19.5" customHeight="1">
      <c r="A10" s="47"/>
      <c r="B10" s="47"/>
      <c r="G10" s="737" t="s">
        <v>0</v>
      </c>
      <c r="H10" s="737"/>
    </row>
    <row r="11" spans="1:8" ht="25.5" customHeight="1">
      <c r="A11" s="736" t="s">
        <v>62</v>
      </c>
      <c r="B11" s="739" t="s">
        <v>69</v>
      </c>
      <c r="C11" s="736" t="s">
        <v>126</v>
      </c>
      <c r="D11" s="736" t="s">
        <v>90</v>
      </c>
      <c r="E11" s="736"/>
      <c r="F11" s="736"/>
      <c r="G11" s="736"/>
      <c r="H11" s="736"/>
    </row>
    <row r="12" spans="1:8" ht="15.75">
      <c r="A12" s="742"/>
      <c r="B12" s="740"/>
      <c r="C12" s="736"/>
      <c r="D12" s="736" t="s">
        <v>127</v>
      </c>
      <c r="E12" s="736" t="s">
        <v>128</v>
      </c>
      <c r="F12" s="736" t="s">
        <v>129</v>
      </c>
      <c r="G12" s="736" t="s">
        <v>130</v>
      </c>
      <c r="H12" s="736" t="s">
        <v>131</v>
      </c>
    </row>
    <row r="13" spans="1:8" ht="15.75">
      <c r="A13" s="742"/>
      <c r="B13" s="740"/>
      <c r="C13" s="736"/>
      <c r="D13" s="736"/>
      <c r="E13" s="736"/>
      <c r="F13" s="736"/>
      <c r="G13" s="736"/>
      <c r="H13" s="736"/>
    </row>
    <row r="14" spans="1:8" ht="17.25" customHeight="1">
      <c r="A14" s="742"/>
      <c r="B14" s="740"/>
      <c r="C14" s="736"/>
      <c r="D14" s="736"/>
      <c r="E14" s="736"/>
      <c r="F14" s="736"/>
      <c r="G14" s="736"/>
      <c r="H14" s="736"/>
    </row>
    <row r="15" spans="1:8" ht="49.5" customHeight="1">
      <c r="A15" s="742"/>
      <c r="B15" s="741"/>
      <c r="C15" s="736"/>
      <c r="D15" s="736"/>
      <c r="E15" s="736"/>
      <c r="F15" s="736"/>
      <c r="G15" s="736"/>
      <c r="H15" s="736"/>
    </row>
    <row r="16" spans="1:8" s="49" customFormat="1" ht="17.25" customHeight="1">
      <c r="A16" s="48" t="s">
        <v>5</v>
      </c>
      <c r="B16" s="48" t="s">
        <v>6</v>
      </c>
      <c r="C16" s="48">
        <v>1</v>
      </c>
      <c r="D16" s="48">
        <f>C16+1</f>
        <v>2</v>
      </c>
      <c r="E16" s="48">
        <f>D16+1</f>
        <v>3</v>
      </c>
      <c r="F16" s="48">
        <f>E16+1</f>
        <v>4</v>
      </c>
      <c r="G16" s="48">
        <f>F16+1</f>
        <v>5</v>
      </c>
      <c r="H16" s="48">
        <f>G16+1</f>
        <v>6</v>
      </c>
    </row>
    <row r="17" spans="1:8" s="49" customFormat="1" ht="18.75" customHeight="1">
      <c r="A17" s="48"/>
      <c r="B17" s="364" t="s">
        <v>70</v>
      </c>
      <c r="C17" s="365">
        <f aca="true" t="shared" si="0" ref="C17:H17">C18+C20</f>
        <v>815107.65105</v>
      </c>
      <c r="D17" s="365">
        <f t="shared" si="0"/>
        <v>403698.983206</v>
      </c>
      <c r="E17" s="365">
        <f t="shared" si="0"/>
        <v>307273.23549999995</v>
      </c>
      <c r="F17" s="365">
        <f t="shared" si="0"/>
        <v>5406</v>
      </c>
      <c r="G17" s="365">
        <f t="shared" si="0"/>
        <v>77060.07359100001</v>
      </c>
      <c r="H17" s="365">
        <f t="shared" si="0"/>
        <v>21669.358753</v>
      </c>
    </row>
    <row r="18" spans="1:8" s="324" customFormat="1" ht="20.25" customHeight="1">
      <c r="A18" s="106" t="s">
        <v>14</v>
      </c>
      <c r="B18" s="106" t="s">
        <v>459</v>
      </c>
      <c r="C18" s="323">
        <f aca="true" t="shared" si="1" ref="C18:H18">C19</f>
        <v>725532.441489</v>
      </c>
      <c r="D18" s="323">
        <f t="shared" si="1"/>
        <v>392797.612444</v>
      </c>
      <c r="E18" s="323">
        <f t="shared" si="1"/>
        <v>239028.5285</v>
      </c>
      <c r="F18" s="323">
        <f t="shared" si="1"/>
        <v>5406</v>
      </c>
      <c r="G18" s="323">
        <f t="shared" si="1"/>
        <v>75385.859752</v>
      </c>
      <c r="H18" s="323">
        <f t="shared" si="1"/>
        <v>12914.440793</v>
      </c>
    </row>
    <row r="19" spans="1:9" s="143" customFormat="1" ht="20.25" customHeight="1">
      <c r="A19" s="366"/>
      <c r="B19" s="367" t="s">
        <v>458</v>
      </c>
      <c r="C19" s="361">
        <f>D19+E19+F19+G19+H19</f>
        <v>725532.441489</v>
      </c>
      <c r="D19" s="361">
        <f>('BIEU 49'!D15+'BIEU 49'!D22)/1000000</f>
        <v>392797.612444</v>
      </c>
      <c r="E19" s="361">
        <f>239028528500/1000000</f>
        <v>239028.5285</v>
      </c>
      <c r="F19" s="371">
        <v>5406</v>
      </c>
      <c r="G19" s="361">
        <f>'BIEU 49'!D21/1000000</f>
        <v>75385.859752</v>
      </c>
      <c r="H19" s="361">
        <f>'BIEU 49'!D20/1000000</f>
        <v>12914.440793</v>
      </c>
      <c r="I19" s="368"/>
    </row>
    <row r="20" spans="1:8" s="49" customFormat="1" ht="20.25" customHeight="1">
      <c r="A20" s="48" t="s">
        <v>25</v>
      </c>
      <c r="B20" s="48" t="s">
        <v>460</v>
      </c>
      <c r="C20" s="360">
        <f aca="true" t="shared" si="2" ref="C20:H20">SUM(C21:C29)</f>
        <v>89575.20956099998</v>
      </c>
      <c r="D20" s="360">
        <f t="shared" si="2"/>
        <v>10901.370762</v>
      </c>
      <c r="E20" s="360">
        <f t="shared" si="2"/>
        <v>68244.707</v>
      </c>
      <c r="F20" s="360">
        <f t="shared" si="2"/>
        <v>0</v>
      </c>
      <c r="G20" s="360">
        <f t="shared" si="2"/>
        <v>1674.213839</v>
      </c>
      <c r="H20" s="360">
        <f t="shared" si="2"/>
        <v>8754.91796</v>
      </c>
    </row>
    <row r="21" spans="1:8" s="143" customFormat="1" ht="20.25" customHeight="1">
      <c r="A21" s="366">
        <v>1</v>
      </c>
      <c r="B21" s="123" t="s">
        <v>250</v>
      </c>
      <c r="C21" s="361">
        <f>E21+F21+G21+H21+D21</f>
        <v>11562.184631999999</v>
      </c>
      <c r="D21" s="361">
        <f>2834982058/1000000</f>
        <v>2834.982058</v>
      </c>
      <c r="E21" s="361">
        <f>6267165000/1000000</f>
        <v>6267.165</v>
      </c>
      <c r="F21" s="361"/>
      <c r="G21" s="361">
        <f>220398000/1000000</f>
        <v>220.398</v>
      </c>
      <c r="H21" s="361">
        <f>2239639574/1000000</f>
        <v>2239.639574</v>
      </c>
    </row>
    <row r="22" spans="1:9" s="498" customFormat="1" ht="20.25" customHeight="1">
      <c r="A22" s="366">
        <v>2</v>
      </c>
      <c r="B22" s="123" t="s">
        <v>251</v>
      </c>
      <c r="C22" s="361">
        <f>E22+F22+G22+H22+D22</f>
        <v>10050.695806</v>
      </c>
      <c r="D22" s="361">
        <f>2055879832/1000000</f>
        <v>2055.879832</v>
      </c>
      <c r="E22" s="361">
        <f>6476701000/1000000</f>
        <v>6476.701</v>
      </c>
      <c r="F22" s="361">
        <f>0/1000000</f>
        <v>0</v>
      </c>
      <c r="G22" s="361">
        <f>281420000/1000000</f>
        <v>281.42</v>
      </c>
      <c r="H22" s="361">
        <f>1236694974/1000000</f>
        <v>1236.694974</v>
      </c>
      <c r="I22" s="497"/>
    </row>
    <row r="23" spans="1:9" s="498" customFormat="1" ht="20.25" customHeight="1">
      <c r="A23" s="366">
        <v>3</v>
      </c>
      <c r="B23" s="123" t="s">
        <v>252</v>
      </c>
      <c r="C23" s="361">
        <f aca="true" t="shared" si="3" ref="C23:C29">E23+F23+G23+H23+D23</f>
        <v>7266.081278</v>
      </c>
      <c r="D23" s="361">
        <f>239343672/1000000</f>
        <v>239.343672</v>
      </c>
      <c r="E23" s="361">
        <f>6731317000/1000000</f>
        <v>6731.317</v>
      </c>
      <c r="F23" s="361">
        <f>0/1000000</f>
        <v>0</v>
      </c>
      <c r="G23" s="361"/>
      <c r="H23" s="361">
        <f>295420606/1000000</f>
        <v>295.420606</v>
      </c>
      <c r="I23" s="497"/>
    </row>
    <row r="24" spans="1:9" s="498" customFormat="1" ht="20.25" customHeight="1">
      <c r="A24" s="366">
        <v>4</v>
      </c>
      <c r="B24" s="123" t="s">
        <v>253</v>
      </c>
      <c r="C24" s="361">
        <f t="shared" si="3"/>
        <v>5306.056396000001</v>
      </c>
      <c r="D24" s="361">
        <f>149359489/1000000</f>
        <v>149.359489</v>
      </c>
      <c r="E24" s="361">
        <f>4925014000/1000000</f>
        <v>4925.014</v>
      </c>
      <c r="F24" s="361">
        <f>0/1000000</f>
        <v>0</v>
      </c>
      <c r="G24" s="361"/>
      <c r="H24" s="361">
        <f>231682907/1000000</f>
        <v>231.682907</v>
      </c>
      <c r="I24" s="497"/>
    </row>
    <row r="25" spans="1:9" s="498" customFormat="1" ht="20.25" customHeight="1">
      <c r="A25" s="366">
        <v>5</v>
      </c>
      <c r="B25" s="123" t="s">
        <v>254</v>
      </c>
      <c r="C25" s="361">
        <f t="shared" si="3"/>
        <v>16001.764511000001</v>
      </c>
      <c r="D25" s="361">
        <f>742565022/1000000</f>
        <v>742.565022</v>
      </c>
      <c r="E25" s="361">
        <f>13519019000/1000000</f>
        <v>13519.019</v>
      </c>
      <c r="F25" s="361">
        <f>0/1000000</f>
        <v>0</v>
      </c>
      <c r="G25" s="361">
        <f>70458440/1000000</f>
        <v>70.45844</v>
      </c>
      <c r="H25" s="361">
        <f>1669722049/1000000</f>
        <v>1669.722049</v>
      </c>
      <c r="I25" s="497"/>
    </row>
    <row r="26" spans="1:9" s="498" customFormat="1" ht="20.25" customHeight="1">
      <c r="A26" s="366">
        <v>6</v>
      </c>
      <c r="B26" s="123" t="s">
        <v>255</v>
      </c>
      <c r="C26" s="361">
        <f t="shared" si="3"/>
        <v>14465.312022999999</v>
      </c>
      <c r="D26" s="361">
        <f>1275714739/1000000</f>
        <v>1275.714739</v>
      </c>
      <c r="E26" s="361">
        <f>11918685000/1000000</f>
        <v>11918.685</v>
      </c>
      <c r="F26" s="361"/>
      <c r="G26" s="361">
        <f>43311336/1000000</f>
        <v>43.311336</v>
      </c>
      <c r="H26" s="361">
        <f>1227600948/1000000</f>
        <v>1227.600948</v>
      </c>
      <c r="I26" s="497"/>
    </row>
    <row r="27" spans="1:9" s="498" customFormat="1" ht="20.25" customHeight="1">
      <c r="A27" s="366">
        <v>7</v>
      </c>
      <c r="B27" s="123" t="s">
        <v>256</v>
      </c>
      <c r="C27" s="361">
        <f t="shared" si="3"/>
        <v>6941.024868</v>
      </c>
      <c r="D27" s="361">
        <f>687972828/1000000</f>
        <v>687.972828</v>
      </c>
      <c r="E27" s="361">
        <f>5539822000/1000000</f>
        <v>5539.822</v>
      </c>
      <c r="F27" s="361"/>
      <c r="G27" s="361">
        <v>0</v>
      </c>
      <c r="H27" s="361">
        <f>713230040/1000000</f>
        <v>713.23004</v>
      </c>
      <c r="I27" s="497"/>
    </row>
    <row r="28" spans="1:9" s="498" customFormat="1" ht="20.25" customHeight="1">
      <c r="A28" s="366">
        <v>8</v>
      </c>
      <c r="B28" s="123" t="s">
        <v>257</v>
      </c>
      <c r="C28" s="361">
        <f t="shared" si="3"/>
        <v>9231.131903999998</v>
      </c>
      <c r="D28" s="361">
        <f>504722632/1000000</f>
        <v>504.722632</v>
      </c>
      <c r="E28" s="361">
        <f>7412619000/1000000</f>
        <v>7412.619</v>
      </c>
      <c r="F28" s="361">
        <f>0/1000000</f>
        <v>0</v>
      </c>
      <c r="G28" s="361">
        <f>358770000/1000000</f>
        <v>358.77</v>
      </c>
      <c r="H28" s="361">
        <f>955020272/1000000</f>
        <v>955.020272</v>
      </c>
      <c r="I28" s="497"/>
    </row>
    <row r="29" spans="1:9" s="498" customFormat="1" ht="20.25" customHeight="1">
      <c r="A29" s="366">
        <v>9</v>
      </c>
      <c r="B29" s="123" t="s">
        <v>258</v>
      </c>
      <c r="C29" s="361">
        <f t="shared" si="3"/>
        <v>8750.958143</v>
      </c>
      <c r="D29" s="361">
        <f>2410830490/1000000</f>
        <v>2410.83049</v>
      </c>
      <c r="E29" s="361">
        <f>5454365000/1000000</f>
        <v>5454.365</v>
      </c>
      <c r="F29" s="361"/>
      <c r="G29" s="361">
        <f>699856063/1000000</f>
        <v>699.856063</v>
      </c>
      <c r="H29" s="361">
        <f>185906590/1000000</f>
        <v>185.90659</v>
      </c>
      <c r="I29" s="497"/>
    </row>
    <row r="30" spans="1:2" ht="22.5" customHeight="1">
      <c r="A30" s="18"/>
      <c r="B30" s="50"/>
    </row>
    <row r="34" ht="15.75">
      <c r="A34" s="18"/>
    </row>
    <row r="41" ht="22.5" customHeight="1">
      <c r="F41" s="24"/>
    </row>
  </sheetData>
  <sheetProtection/>
  <mergeCells count="22">
    <mergeCell ref="A1:B1"/>
    <mergeCell ref="A2:B2"/>
    <mergeCell ref="C1:H1"/>
    <mergeCell ref="C2:H2"/>
    <mergeCell ref="C3:H3"/>
    <mergeCell ref="A5:H5"/>
    <mergeCell ref="B11:B15"/>
    <mergeCell ref="A3:B3"/>
    <mergeCell ref="A4:B4"/>
    <mergeCell ref="A6:H6"/>
    <mergeCell ref="A11:A15"/>
    <mergeCell ref="C11:C15"/>
    <mergeCell ref="D11:H11"/>
    <mergeCell ref="A7:H7"/>
    <mergeCell ref="A8:H8"/>
    <mergeCell ref="D12:D15"/>
    <mergeCell ref="E12:E15"/>
    <mergeCell ref="F12:F15"/>
    <mergeCell ref="G10:H10"/>
    <mergeCell ref="G12:G15"/>
    <mergeCell ref="E4:H4"/>
    <mergeCell ref="H12:H15"/>
  </mergeCells>
  <printOptions horizontalCentered="1"/>
  <pageMargins left="0.7480314960629921" right="0.1968503937007874" top="0.5905511811023623" bottom="0.15748031496062992" header="0.4724409448818898" footer="0.2755905511811024"/>
  <pageSetup fitToHeight="5" horizontalDpi="600" verticalDpi="600" orientation="portrait" paperSize="9" scale="90" r:id="rId1"/>
  <headerFooter alignWithMargins="0">
    <oddFooter>&amp;C&amp;".VnTime,Italic"&amp;8
</oddFooter>
  </headerFooter>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W34"/>
  <sheetViews>
    <sheetView zoomScale="85" zoomScaleNormal="85" workbookViewId="0" topLeftCell="A13">
      <selection activeCell="A7" sqref="A7:R7"/>
    </sheetView>
  </sheetViews>
  <sheetFormatPr defaultColWidth="8.796875" defaultRowHeight="15"/>
  <cols>
    <col min="1" max="1" width="4.59765625" style="24" customWidth="1"/>
    <col min="2" max="2" width="28.8984375" style="24" customWidth="1"/>
    <col min="3" max="3" width="7.3984375" style="24" customWidth="1"/>
    <col min="4" max="4" width="7.59765625" style="24" customWidth="1"/>
    <col min="5" max="5" width="7.3984375" style="24" customWidth="1"/>
    <col min="6" max="6" width="6.8984375" style="24" customWidth="1"/>
    <col min="7" max="7" width="7.59765625" style="24" customWidth="1"/>
    <col min="8" max="8" width="6.69921875" style="24" customWidth="1"/>
    <col min="9" max="9" width="5.59765625" style="24" customWidth="1"/>
    <col min="10" max="10" width="5.69921875" style="24" customWidth="1"/>
    <col min="11" max="11" width="6.09765625" style="24" customWidth="1"/>
    <col min="12" max="12" width="6.5" style="24" customWidth="1"/>
    <col min="13" max="13" width="5.69921875" style="24" customWidth="1"/>
    <col min="14" max="14" width="6.69921875" style="24" customWidth="1"/>
    <col min="15" max="15" width="7.19921875" style="24" customWidth="1"/>
    <col min="16" max="16" width="6.19921875" style="24" customWidth="1"/>
    <col min="17" max="17" width="8.8984375" style="24" customWidth="1"/>
    <col min="18" max="18" width="8.3984375" style="24" customWidth="1"/>
    <col min="19" max="16384" width="9" style="24" customWidth="1"/>
  </cols>
  <sheetData>
    <row r="1" spans="1:23" ht="16.5" customHeight="1">
      <c r="A1" s="832" t="s">
        <v>794</v>
      </c>
      <c r="B1" s="832"/>
      <c r="C1" s="832"/>
      <c r="D1" s="835"/>
      <c r="E1" s="835"/>
      <c r="F1" s="835"/>
      <c r="G1" s="832" t="s">
        <v>809</v>
      </c>
      <c r="H1" s="832"/>
      <c r="I1" s="832"/>
      <c r="J1" s="832"/>
      <c r="K1" s="832"/>
      <c r="L1" s="832"/>
      <c r="M1" s="832"/>
      <c r="N1" s="832"/>
      <c r="O1" s="832"/>
      <c r="P1" s="832"/>
      <c r="Q1" s="832"/>
      <c r="R1" s="832"/>
      <c r="S1" s="835"/>
      <c r="T1" s="835"/>
      <c r="U1" s="835"/>
      <c r="V1" s="835"/>
      <c r="W1" s="835"/>
    </row>
    <row r="2" spans="1:23" ht="16.5">
      <c r="A2" s="833" t="s">
        <v>260</v>
      </c>
      <c r="B2" s="833"/>
      <c r="C2" s="833"/>
      <c r="D2" s="850"/>
      <c r="E2" s="836"/>
      <c r="F2" s="836"/>
      <c r="G2" s="834" t="s">
        <v>810</v>
      </c>
      <c r="H2" s="834"/>
      <c r="I2" s="834"/>
      <c r="J2" s="834"/>
      <c r="K2" s="834"/>
      <c r="L2" s="834"/>
      <c r="M2" s="834"/>
      <c r="N2" s="834"/>
      <c r="O2" s="834"/>
      <c r="P2" s="834"/>
      <c r="Q2" s="834"/>
      <c r="R2" s="834"/>
      <c r="S2" s="836"/>
      <c r="T2" s="836"/>
      <c r="U2" s="836"/>
      <c r="V2" s="836"/>
      <c r="W2" s="836"/>
    </row>
    <row r="3" spans="1:23" ht="15.75">
      <c r="A3" s="810" t="s">
        <v>811</v>
      </c>
      <c r="B3" s="810"/>
      <c r="C3" s="810"/>
      <c r="D3" s="851"/>
      <c r="E3" s="831"/>
      <c r="F3" s="831"/>
      <c r="G3" s="821" t="s">
        <v>802</v>
      </c>
      <c r="H3" s="821"/>
      <c r="I3" s="821"/>
      <c r="J3" s="821"/>
      <c r="K3" s="821"/>
      <c r="L3" s="821"/>
      <c r="M3" s="821"/>
      <c r="N3" s="821"/>
      <c r="O3" s="821"/>
      <c r="P3" s="821"/>
      <c r="Q3" s="821"/>
      <c r="R3" s="821"/>
      <c r="S3" s="831"/>
      <c r="T3" s="831"/>
      <c r="U3" s="831"/>
      <c r="V3" s="831"/>
      <c r="W3" s="831"/>
    </row>
    <row r="4" spans="1:23" ht="15.75">
      <c r="A4" s="818"/>
      <c r="B4" s="692"/>
      <c r="C4" s="823"/>
      <c r="D4" s="824"/>
      <c r="E4" s="824"/>
      <c r="F4" s="824"/>
      <c r="G4" s="824"/>
      <c r="H4" s="824"/>
      <c r="I4" s="126"/>
      <c r="J4" s="126"/>
      <c r="K4" s="126"/>
      <c r="L4" s="2"/>
      <c r="M4" s="2"/>
      <c r="N4" s="2"/>
      <c r="O4" s="477"/>
      <c r="P4" s="477"/>
      <c r="Q4" s="477"/>
      <c r="R4" s="477"/>
      <c r="S4" s="477"/>
      <c r="T4" s="477"/>
      <c r="U4" s="477"/>
      <c r="V4" s="477"/>
      <c r="W4" s="477"/>
    </row>
    <row r="5" spans="1:23" ht="18.75">
      <c r="A5" s="825" t="s">
        <v>833</v>
      </c>
      <c r="B5" s="825"/>
      <c r="C5" s="825"/>
      <c r="D5" s="825"/>
      <c r="E5" s="825"/>
      <c r="F5" s="825"/>
      <c r="G5" s="825"/>
      <c r="H5" s="825"/>
      <c r="I5" s="825"/>
      <c r="J5" s="825"/>
      <c r="K5" s="825"/>
      <c r="L5" s="825"/>
      <c r="M5" s="825"/>
      <c r="N5" s="825"/>
      <c r="O5" s="825"/>
      <c r="P5" s="825"/>
      <c r="Q5" s="825"/>
      <c r="R5" s="825"/>
      <c r="S5" s="845"/>
      <c r="T5" s="845"/>
      <c r="U5" s="845"/>
      <c r="V5" s="845"/>
      <c r="W5" s="845"/>
    </row>
    <row r="6" spans="1:18" s="143" customFormat="1" ht="21" customHeight="1">
      <c r="A6" s="862" t="s">
        <v>473</v>
      </c>
      <c r="B6" s="862"/>
      <c r="C6" s="862"/>
      <c r="D6" s="862"/>
      <c r="E6" s="862"/>
      <c r="F6" s="862"/>
      <c r="G6" s="862"/>
      <c r="H6" s="862"/>
      <c r="I6" s="862"/>
      <c r="J6" s="862"/>
      <c r="K6" s="862"/>
      <c r="L6" s="862"/>
      <c r="M6" s="862"/>
      <c r="N6" s="862"/>
      <c r="O6" s="862"/>
      <c r="P6" s="862"/>
      <c r="Q6" s="862"/>
      <c r="R6" s="862"/>
    </row>
    <row r="7" spans="1:22" s="143" customFormat="1" ht="21" customHeight="1">
      <c r="A7" s="856" t="s">
        <v>800</v>
      </c>
      <c r="B7" s="856"/>
      <c r="C7" s="856"/>
      <c r="D7" s="856"/>
      <c r="E7" s="856"/>
      <c r="F7" s="856"/>
      <c r="G7" s="856"/>
      <c r="H7" s="856"/>
      <c r="I7" s="856"/>
      <c r="J7" s="856"/>
      <c r="K7" s="856"/>
      <c r="L7" s="856"/>
      <c r="M7" s="856"/>
      <c r="N7" s="856"/>
      <c r="O7" s="856"/>
      <c r="P7" s="856"/>
      <c r="Q7" s="856"/>
      <c r="R7" s="856"/>
      <c r="S7" s="51"/>
      <c r="T7" s="51"/>
      <c r="U7" s="51"/>
      <c r="V7" s="51"/>
    </row>
    <row r="8" spans="1:22" ht="18" customHeight="1" hidden="1">
      <c r="A8" s="51"/>
      <c r="B8" s="51"/>
      <c r="C8" s="51"/>
      <c r="D8" s="51"/>
      <c r="E8" s="51"/>
      <c r="F8" s="51"/>
      <c r="G8" s="51"/>
      <c r="H8" s="51"/>
      <c r="I8" s="51"/>
      <c r="J8" s="51"/>
      <c r="K8" s="51"/>
      <c r="L8" s="51"/>
      <c r="M8" s="51"/>
      <c r="N8" s="51"/>
      <c r="O8" s="51"/>
      <c r="P8" s="51"/>
      <c r="Q8" s="51"/>
      <c r="R8" s="51"/>
      <c r="S8" s="51"/>
      <c r="T8" s="51"/>
      <c r="U8" s="51"/>
      <c r="V8" s="51"/>
    </row>
    <row r="9" spans="1:18" ht="14.25" customHeight="1" hidden="1">
      <c r="A9" s="46"/>
      <c r="B9" s="46"/>
      <c r="C9" s="23"/>
      <c r="D9" s="23"/>
      <c r="E9" s="23"/>
      <c r="F9" s="23"/>
      <c r="G9" s="23"/>
      <c r="H9" s="23"/>
      <c r="I9" s="23"/>
      <c r="J9" s="23"/>
      <c r="K9" s="23"/>
      <c r="L9" s="23"/>
      <c r="M9" s="23"/>
      <c r="N9" s="23"/>
      <c r="O9" s="23"/>
      <c r="P9" s="23"/>
      <c r="Q9" s="23"/>
      <c r="R9" s="23"/>
    </row>
    <row r="10" spans="1:18" ht="14.25" customHeight="1">
      <c r="A10" s="866" t="s">
        <v>834</v>
      </c>
      <c r="B10" s="866"/>
      <c r="C10" s="866"/>
      <c r="D10" s="866"/>
      <c r="E10" s="866"/>
      <c r="F10" s="866"/>
      <c r="G10" s="866"/>
      <c r="H10" s="866"/>
      <c r="I10" s="866"/>
      <c r="J10" s="866"/>
      <c r="K10" s="866"/>
      <c r="L10" s="866"/>
      <c r="M10" s="866"/>
      <c r="N10" s="866"/>
      <c r="O10" s="866"/>
      <c r="P10" s="866"/>
      <c r="Q10" s="866"/>
      <c r="R10" s="866"/>
    </row>
    <row r="11" spans="1:18" ht="14.25" customHeight="1">
      <c r="A11" s="865"/>
      <c r="B11" s="865"/>
      <c r="C11" s="865"/>
      <c r="D11" s="865"/>
      <c r="E11" s="865"/>
      <c r="F11" s="865"/>
      <c r="G11" s="865"/>
      <c r="H11" s="865"/>
      <c r="I11" s="865"/>
      <c r="J11" s="865"/>
      <c r="K11" s="865"/>
      <c r="L11" s="865"/>
      <c r="M11" s="865"/>
      <c r="N11" s="865"/>
      <c r="O11" s="865"/>
      <c r="P11" s="865"/>
      <c r="Q11" s="865"/>
      <c r="R11" s="865"/>
    </row>
    <row r="12" spans="1:18" ht="18" customHeight="1">
      <c r="A12" s="47"/>
      <c r="B12" s="47"/>
      <c r="M12" s="52"/>
      <c r="N12" s="747"/>
      <c r="O12" s="747"/>
      <c r="P12" s="748" t="s">
        <v>0</v>
      </c>
      <c r="Q12" s="748"/>
      <c r="R12" s="748"/>
    </row>
    <row r="13" spans="1:18" ht="21.75" customHeight="1">
      <c r="A13" s="736" t="s">
        <v>132</v>
      </c>
      <c r="B13" s="736" t="s">
        <v>455</v>
      </c>
      <c r="C13" s="743" t="s">
        <v>81</v>
      </c>
      <c r="D13" s="743"/>
      <c r="E13" s="743"/>
      <c r="F13" s="743" t="s">
        <v>3</v>
      </c>
      <c r="G13" s="743"/>
      <c r="H13" s="743"/>
      <c r="I13" s="743"/>
      <c r="J13" s="743"/>
      <c r="K13" s="743"/>
      <c r="L13" s="743"/>
      <c r="M13" s="743"/>
      <c r="N13" s="743"/>
      <c r="O13" s="743"/>
      <c r="P13" s="736" t="s">
        <v>4</v>
      </c>
      <c r="Q13" s="736"/>
      <c r="R13" s="736"/>
    </row>
    <row r="14" spans="1:18" ht="33.75" customHeight="1">
      <c r="A14" s="736"/>
      <c r="B14" s="736"/>
      <c r="C14" s="736" t="s">
        <v>63</v>
      </c>
      <c r="D14" s="736" t="s">
        <v>90</v>
      </c>
      <c r="E14" s="736"/>
      <c r="F14" s="736" t="s">
        <v>63</v>
      </c>
      <c r="G14" s="736" t="s">
        <v>90</v>
      </c>
      <c r="H14" s="736"/>
      <c r="I14" s="744" t="s">
        <v>447</v>
      </c>
      <c r="J14" s="745"/>
      <c r="K14" s="745"/>
      <c r="L14" s="745"/>
      <c r="M14" s="745"/>
      <c r="N14" s="745"/>
      <c r="O14" s="746"/>
      <c r="P14" s="736" t="s">
        <v>63</v>
      </c>
      <c r="Q14" s="736" t="s">
        <v>90</v>
      </c>
      <c r="R14" s="736"/>
    </row>
    <row r="15" spans="1:18" ht="26.25" customHeight="1">
      <c r="A15" s="736"/>
      <c r="B15" s="736"/>
      <c r="C15" s="736"/>
      <c r="D15" s="736" t="s">
        <v>133</v>
      </c>
      <c r="E15" s="736" t="s">
        <v>134</v>
      </c>
      <c r="F15" s="736"/>
      <c r="G15" s="736" t="s">
        <v>133</v>
      </c>
      <c r="H15" s="736" t="s">
        <v>134</v>
      </c>
      <c r="I15" s="736" t="s">
        <v>63</v>
      </c>
      <c r="J15" s="742" t="s">
        <v>68</v>
      </c>
      <c r="K15" s="742"/>
      <c r="L15" s="742"/>
      <c r="M15" s="742" t="s">
        <v>134</v>
      </c>
      <c r="N15" s="742"/>
      <c r="O15" s="742"/>
      <c r="P15" s="736"/>
      <c r="Q15" s="736" t="s">
        <v>68</v>
      </c>
      <c r="R15" s="736" t="s">
        <v>26</v>
      </c>
    </row>
    <row r="16" spans="1:18" ht="21.75" customHeight="1">
      <c r="A16" s="736"/>
      <c r="B16" s="736"/>
      <c r="C16" s="736"/>
      <c r="D16" s="736"/>
      <c r="E16" s="736"/>
      <c r="F16" s="736"/>
      <c r="G16" s="736"/>
      <c r="H16" s="736"/>
      <c r="I16" s="736"/>
      <c r="J16" s="736" t="s">
        <v>63</v>
      </c>
      <c r="K16" s="736" t="s">
        <v>135</v>
      </c>
      <c r="L16" s="736"/>
      <c r="M16" s="736" t="s">
        <v>63</v>
      </c>
      <c r="N16" s="736" t="s">
        <v>135</v>
      </c>
      <c r="O16" s="736"/>
      <c r="P16" s="736"/>
      <c r="Q16" s="736"/>
      <c r="R16" s="736"/>
    </row>
    <row r="17" spans="1:18" ht="21.75" customHeight="1">
      <c r="A17" s="736"/>
      <c r="B17" s="736"/>
      <c r="C17" s="736"/>
      <c r="D17" s="736"/>
      <c r="E17" s="736"/>
      <c r="F17" s="736"/>
      <c r="G17" s="736"/>
      <c r="H17" s="736"/>
      <c r="I17" s="736"/>
      <c r="J17" s="736"/>
      <c r="K17" s="736" t="s">
        <v>136</v>
      </c>
      <c r="L17" s="736" t="s">
        <v>137</v>
      </c>
      <c r="M17" s="736"/>
      <c r="N17" s="736" t="s">
        <v>136</v>
      </c>
      <c r="O17" s="736" t="s">
        <v>137</v>
      </c>
      <c r="P17" s="736"/>
      <c r="Q17" s="736"/>
      <c r="R17" s="736"/>
    </row>
    <row r="18" spans="1:18" ht="21.75" customHeight="1">
      <c r="A18" s="736"/>
      <c r="B18" s="736"/>
      <c r="C18" s="736"/>
      <c r="D18" s="736"/>
      <c r="E18" s="736"/>
      <c r="F18" s="736"/>
      <c r="G18" s="736"/>
      <c r="H18" s="736"/>
      <c r="I18" s="736"/>
      <c r="J18" s="736"/>
      <c r="K18" s="736"/>
      <c r="L18" s="736"/>
      <c r="M18" s="736"/>
      <c r="N18" s="736"/>
      <c r="O18" s="736"/>
      <c r="P18" s="736"/>
      <c r="Q18" s="736"/>
      <c r="R18" s="736"/>
    </row>
    <row r="19" spans="1:18" ht="18.75" customHeight="1">
      <c r="A19" s="736"/>
      <c r="B19" s="736"/>
      <c r="C19" s="736"/>
      <c r="D19" s="736"/>
      <c r="E19" s="736"/>
      <c r="F19" s="736"/>
      <c r="G19" s="736"/>
      <c r="H19" s="736"/>
      <c r="I19" s="736"/>
      <c r="J19" s="736"/>
      <c r="K19" s="736"/>
      <c r="L19" s="736"/>
      <c r="M19" s="736"/>
      <c r="N19" s="736"/>
      <c r="O19" s="736"/>
      <c r="P19" s="736"/>
      <c r="Q19" s="736"/>
      <c r="R19" s="736"/>
    </row>
    <row r="20" spans="1:18" s="49" customFormat="1" ht="20.25" customHeight="1">
      <c r="A20" s="48" t="s">
        <v>5</v>
      </c>
      <c r="B20" s="48" t="s">
        <v>6</v>
      </c>
      <c r="C20" s="48">
        <v>1</v>
      </c>
      <c r="D20" s="48">
        <f aca="true" t="shared" si="0" ref="D20:O20">C20+1</f>
        <v>2</v>
      </c>
      <c r="E20" s="48">
        <f t="shared" si="0"/>
        <v>3</v>
      </c>
      <c r="F20" s="48">
        <f>E20+1</f>
        <v>4</v>
      </c>
      <c r="G20" s="48">
        <f t="shared" si="0"/>
        <v>5</v>
      </c>
      <c r="H20" s="48">
        <f t="shared" si="0"/>
        <v>6</v>
      </c>
      <c r="I20" s="48">
        <f t="shared" si="0"/>
        <v>7</v>
      </c>
      <c r="J20" s="48">
        <f t="shared" si="0"/>
        <v>8</v>
      </c>
      <c r="K20" s="48">
        <f t="shared" si="0"/>
        <v>9</v>
      </c>
      <c r="L20" s="48">
        <f t="shared" si="0"/>
        <v>10</v>
      </c>
      <c r="M20" s="48">
        <f t="shared" si="0"/>
        <v>11</v>
      </c>
      <c r="N20" s="48">
        <f t="shared" si="0"/>
        <v>12</v>
      </c>
      <c r="O20" s="48">
        <f t="shared" si="0"/>
        <v>13</v>
      </c>
      <c r="P20" s="48" t="s">
        <v>448</v>
      </c>
      <c r="Q20" s="48" t="s">
        <v>449</v>
      </c>
      <c r="R20" s="48" t="s">
        <v>450</v>
      </c>
    </row>
    <row r="21" spans="1:18" s="49" customFormat="1" ht="21" customHeight="1">
      <c r="A21" s="48"/>
      <c r="B21" s="48" t="s">
        <v>70</v>
      </c>
      <c r="C21" s="359">
        <f>C22+C25</f>
        <v>4965.79</v>
      </c>
      <c r="D21" s="359">
        <f aca="true" t="shared" si="1" ref="D21:M21">D22+D25</f>
        <v>0</v>
      </c>
      <c r="E21" s="359">
        <f t="shared" si="1"/>
        <v>4965.79</v>
      </c>
      <c r="F21" s="359">
        <f t="shared" si="1"/>
        <v>533.7592999999999</v>
      </c>
      <c r="G21" s="359">
        <f t="shared" si="1"/>
        <v>0</v>
      </c>
      <c r="H21" s="359">
        <f t="shared" si="1"/>
        <v>533.7592999999999</v>
      </c>
      <c r="I21" s="359">
        <f t="shared" si="1"/>
        <v>533.7592999999999</v>
      </c>
      <c r="J21" s="359">
        <f t="shared" si="1"/>
        <v>0</v>
      </c>
      <c r="K21" s="359">
        <f t="shared" si="1"/>
        <v>0</v>
      </c>
      <c r="L21" s="359">
        <f t="shared" si="1"/>
        <v>0</v>
      </c>
      <c r="M21" s="359">
        <f t="shared" si="1"/>
        <v>533.7592999999999</v>
      </c>
      <c r="N21" s="359">
        <f>N22+N25</f>
        <v>533.7592999999999</v>
      </c>
      <c r="O21" s="359"/>
      <c r="P21" s="360"/>
      <c r="Q21" s="359"/>
      <c r="R21" s="360">
        <f aca="true" t="shared" si="2" ref="R21:R28">H21/E21*100</f>
        <v>10.748728802466474</v>
      </c>
    </row>
    <row r="22" spans="1:18" s="49" customFormat="1" ht="21" customHeight="1">
      <c r="A22" s="48" t="s">
        <v>14</v>
      </c>
      <c r="B22" s="666" t="s">
        <v>170</v>
      </c>
      <c r="C22" s="359">
        <f>C23+C24</f>
        <v>812.661</v>
      </c>
      <c r="D22" s="359">
        <f aca="true" t="shared" si="3" ref="D22:O22">D23+D24</f>
        <v>0</v>
      </c>
      <c r="E22" s="359">
        <f t="shared" si="3"/>
        <v>812.661</v>
      </c>
      <c r="F22" s="359">
        <f t="shared" si="3"/>
        <v>240.5953</v>
      </c>
      <c r="G22" s="359">
        <f t="shared" si="3"/>
        <v>0</v>
      </c>
      <c r="H22" s="359">
        <f>H23+H24</f>
        <v>240.5953</v>
      </c>
      <c r="I22" s="359">
        <f t="shared" si="3"/>
        <v>240.5953</v>
      </c>
      <c r="J22" s="359">
        <f t="shared" si="3"/>
        <v>0</v>
      </c>
      <c r="K22" s="359">
        <f t="shared" si="3"/>
        <v>0</v>
      </c>
      <c r="L22" s="359">
        <f t="shared" si="3"/>
        <v>0</v>
      </c>
      <c r="M22" s="359">
        <f t="shared" si="3"/>
        <v>240.5953</v>
      </c>
      <c r="N22" s="359">
        <f>N23+N24</f>
        <v>240.5953</v>
      </c>
      <c r="O22" s="359">
        <f t="shared" si="3"/>
        <v>0</v>
      </c>
      <c r="P22" s="360"/>
      <c r="Q22" s="359"/>
      <c r="R22" s="361">
        <f t="shared" si="2"/>
        <v>29.605862715203514</v>
      </c>
    </row>
    <row r="23" spans="1:18" s="143" customFormat="1" ht="21" customHeight="1">
      <c r="A23" s="366">
        <v>1</v>
      </c>
      <c r="B23" s="367" t="s">
        <v>788</v>
      </c>
      <c r="C23" s="137">
        <f>SUM(D23:E23)</f>
        <v>88.938</v>
      </c>
      <c r="D23" s="137"/>
      <c r="E23" s="361">
        <f>88938/1000</f>
        <v>88.938</v>
      </c>
      <c r="F23" s="361">
        <f>G23+H23</f>
        <v>52.1725</v>
      </c>
      <c r="G23" s="137"/>
      <c r="H23" s="361">
        <f>I23</f>
        <v>52.1725</v>
      </c>
      <c r="I23" s="137">
        <f>J23+M23</f>
        <v>52.1725</v>
      </c>
      <c r="J23" s="137"/>
      <c r="K23" s="137"/>
      <c r="L23" s="137"/>
      <c r="M23" s="361">
        <f>N23+O23</f>
        <v>52.1725</v>
      </c>
      <c r="N23" s="361">
        <f>(27121.5+25051)/1000</f>
        <v>52.1725</v>
      </c>
      <c r="O23" s="137"/>
      <c r="P23" s="361"/>
      <c r="Q23" s="137"/>
      <c r="R23" s="361">
        <f t="shared" si="2"/>
        <v>58.66165193730464</v>
      </c>
    </row>
    <row r="24" spans="1:18" s="143" customFormat="1" ht="33" customHeight="1">
      <c r="A24" s="366">
        <v>2</v>
      </c>
      <c r="B24" s="667" t="s">
        <v>789</v>
      </c>
      <c r="C24" s="137">
        <f>SUM(D24:E24)</f>
        <v>723.723</v>
      </c>
      <c r="D24" s="137"/>
      <c r="E24" s="361">
        <f>723723/1000</f>
        <v>723.723</v>
      </c>
      <c r="F24" s="361">
        <f>G24+H24</f>
        <v>188.4228</v>
      </c>
      <c r="G24" s="137"/>
      <c r="H24" s="361">
        <f>I24</f>
        <v>188.4228</v>
      </c>
      <c r="I24" s="137">
        <f>J24+M24</f>
        <v>188.4228</v>
      </c>
      <c r="J24" s="137"/>
      <c r="K24" s="137"/>
      <c r="L24" s="137"/>
      <c r="M24" s="361">
        <f>N24+O24</f>
        <v>188.4228</v>
      </c>
      <c r="N24" s="361">
        <f>188422.8/1000</f>
        <v>188.4228</v>
      </c>
      <c r="O24" s="137"/>
      <c r="P24" s="361"/>
      <c r="Q24" s="137"/>
      <c r="R24" s="361">
        <f t="shared" si="2"/>
        <v>26.035209603674335</v>
      </c>
    </row>
    <row r="25" spans="1:18" s="49" customFormat="1" ht="21" customHeight="1">
      <c r="A25" s="48" t="s">
        <v>25</v>
      </c>
      <c r="B25" s="666" t="s">
        <v>790</v>
      </c>
      <c r="C25" s="359">
        <f>SUM(C26:C28)</f>
        <v>4153.129</v>
      </c>
      <c r="D25" s="359">
        <f aca="true" t="shared" si="4" ref="D25:O25">SUM(D26:D28)</f>
        <v>0</v>
      </c>
      <c r="E25" s="359">
        <f t="shared" si="4"/>
        <v>4153.129</v>
      </c>
      <c r="F25" s="359">
        <f t="shared" si="4"/>
        <v>293.164</v>
      </c>
      <c r="G25" s="359">
        <f t="shared" si="4"/>
        <v>0</v>
      </c>
      <c r="H25" s="359">
        <f t="shared" si="4"/>
        <v>293.164</v>
      </c>
      <c r="I25" s="359">
        <f t="shared" si="4"/>
        <v>293.164</v>
      </c>
      <c r="J25" s="359">
        <f t="shared" si="4"/>
        <v>0</v>
      </c>
      <c r="K25" s="359">
        <f t="shared" si="4"/>
        <v>0</v>
      </c>
      <c r="L25" s="359">
        <f t="shared" si="4"/>
        <v>0</v>
      </c>
      <c r="M25" s="359">
        <f t="shared" si="4"/>
        <v>293.164</v>
      </c>
      <c r="N25" s="359">
        <f t="shared" si="4"/>
        <v>293.164</v>
      </c>
      <c r="O25" s="359">
        <f t="shared" si="4"/>
        <v>0</v>
      </c>
      <c r="P25" s="360"/>
      <c r="Q25" s="359"/>
      <c r="R25" s="360">
        <f t="shared" si="2"/>
        <v>7.058870552780807</v>
      </c>
    </row>
    <row r="26" spans="1:18" s="143" customFormat="1" ht="21" customHeight="1">
      <c r="A26" s="668">
        <v>1</v>
      </c>
      <c r="B26" s="669" t="s">
        <v>791</v>
      </c>
      <c r="C26" s="137">
        <f>SUM(D26:E26)</f>
        <v>2000</v>
      </c>
      <c r="D26" s="137"/>
      <c r="E26" s="670">
        <f>2000000000/1000000</f>
        <v>2000</v>
      </c>
      <c r="F26" s="361">
        <f>G26+H26</f>
        <v>147.7</v>
      </c>
      <c r="G26" s="137"/>
      <c r="H26" s="361">
        <f>I26</f>
        <v>147.7</v>
      </c>
      <c r="I26" s="137">
        <f>J26+M26</f>
        <v>147.7</v>
      </c>
      <c r="J26" s="137"/>
      <c r="K26" s="137"/>
      <c r="L26" s="137"/>
      <c r="M26" s="361">
        <f>N26+O26</f>
        <v>147.7</v>
      </c>
      <c r="N26" s="137">
        <f>147700/1000</f>
        <v>147.7</v>
      </c>
      <c r="O26" s="137"/>
      <c r="P26" s="361"/>
      <c r="Q26" s="137"/>
      <c r="R26" s="361">
        <f t="shared" si="2"/>
        <v>7.385</v>
      </c>
    </row>
    <row r="27" spans="1:18" s="143" customFormat="1" ht="21" customHeight="1">
      <c r="A27" s="668">
        <v>2</v>
      </c>
      <c r="B27" s="669" t="s">
        <v>792</v>
      </c>
      <c r="C27" s="137">
        <f>SUM(D27:E27)</f>
        <v>153.129</v>
      </c>
      <c r="D27" s="137"/>
      <c r="E27" s="670">
        <f>153129000/1000000</f>
        <v>153.129</v>
      </c>
      <c r="F27" s="361">
        <f>G27+H27</f>
        <v>145.464</v>
      </c>
      <c r="G27" s="137"/>
      <c r="H27" s="361">
        <f>I27</f>
        <v>145.464</v>
      </c>
      <c r="I27" s="137">
        <f>J27+M27</f>
        <v>145.464</v>
      </c>
      <c r="J27" s="137"/>
      <c r="K27" s="137"/>
      <c r="L27" s="137"/>
      <c r="M27" s="361">
        <f>N27+O27</f>
        <v>145.464</v>
      </c>
      <c r="N27" s="137">
        <f>145464/1000</f>
        <v>145.464</v>
      </c>
      <c r="O27" s="137"/>
      <c r="P27" s="361"/>
      <c r="Q27" s="137"/>
      <c r="R27" s="361">
        <f t="shared" si="2"/>
        <v>94.99441647238604</v>
      </c>
    </row>
    <row r="28" spans="1:18" s="49" customFormat="1" ht="21" customHeight="1">
      <c r="A28" s="668">
        <v>3</v>
      </c>
      <c r="B28" s="669" t="s">
        <v>793</v>
      </c>
      <c r="C28" s="137">
        <f>SUM(D28:E28)</f>
        <v>2000</v>
      </c>
      <c r="D28" s="359"/>
      <c r="E28" s="670">
        <f>2000000000/1000000</f>
        <v>2000</v>
      </c>
      <c r="F28" s="135">
        <f>G28+H28</f>
        <v>0</v>
      </c>
      <c r="G28" s="142"/>
      <c r="H28" s="135">
        <f>I28</f>
        <v>0</v>
      </c>
      <c r="I28" s="135">
        <f>J28+M28</f>
        <v>0</v>
      </c>
      <c r="J28" s="142"/>
      <c r="K28" s="142"/>
      <c r="L28" s="142"/>
      <c r="M28" s="135">
        <f>N28+O28</f>
        <v>0</v>
      </c>
      <c r="N28" s="142">
        <v>0</v>
      </c>
      <c r="O28" s="142"/>
      <c r="P28" s="142"/>
      <c r="Q28" s="142"/>
      <c r="R28" s="135">
        <f t="shared" si="2"/>
        <v>0</v>
      </c>
    </row>
    <row r="29" spans="1:2" s="143" customFormat="1" ht="23.25" customHeight="1" hidden="1">
      <c r="A29" s="162" t="s">
        <v>180</v>
      </c>
      <c r="B29" s="334"/>
    </row>
    <row r="30" spans="1:3" s="143" customFormat="1" ht="15.75" customHeight="1" hidden="1">
      <c r="A30" s="162"/>
      <c r="B30" s="162" t="s">
        <v>138</v>
      </c>
      <c r="C30" s="162"/>
    </row>
    <row r="31" spans="1:2" ht="15.75">
      <c r="A31" s="5"/>
      <c r="B31" s="5"/>
    </row>
    <row r="34" ht="15.75">
      <c r="O34" s="671"/>
    </row>
    <row r="40" ht="22.5" customHeight="1"/>
  </sheetData>
  <sheetProtection/>
  <mergeCells count="41">
    <mergeCell ref="A5:R5"/>
    <mergeCell ref="A6:R6"/>
    <mergeCell ref="A10:R10"/>
    <mergeCell ref="A1:C1"/>
    <mergeCell ref="A2:C2"/>
    <mergeCell ref="A3:C3"/>
    <mergeCell ref="G1:R1"/>
    <mergeCell ref="G2:R2"/>
    <mergeCell ref="G3:R3"/>
    <mergeCell ref="Q15:Q19"/>
    <mergeCell ref="R15:R19"/>
    <mergeCell ref="J16:J19"/>
    <mergeCell ref="K16:L16"/>
    <mergeCell ref="M16:M19"/>
    <mergeCell ref="N16:O16"/>
    <mergeCell ref="K17:K19"/>
    <mergeCell ref="L17:L19"/>
    <mergeCell ref="N17:N19"/>
    <mergeCell ref="O17:O19"/>
    <mergeCell ref="G15:G19"/>
    <mergeCell ref="H15:H19"/>
    <mergeCell ref="I15:I19"/>
    <mergeCell ref="J15:L15"/>
    <mergeCell ref="M15:O15"/>
    <mergeCell ref="D14:E14"/>
    <mergeCell ref="A7:R7"/>
    <mergeCell ref="N12:O12"/>
    <mergeCell ref="P12:R12"/>
    <mergeCell ref="A13:A19"/>
    <mergeCell ref="B13:B19"/>
    <mergeCell ref="C13:E13"/>
    <mergeCell ref="P14:P19"/>
    <mergeCell ref="Q14:R14"/>
    <mergeCell ref="D15:D19"/>
    <mergeCell ref="E15:E19"/>
    <mergeCell ref="F13:O13"/>
    <mergeCell ref="P13:R13"/>
    <mergeCell ref="C14:C19"/>
    <mergeCell ref="F14:F19"/>
    <mergeCell ref="G14:H14"/>
    <mergeCell ref="I14:O14"/>
  </mergeCells>
  <printOptions horizontalCentered="1"/>
  <pageMargins left="0.2362204724409449" right="0.2755905511811024" top="0.5905511811023623" bottom="0.1968503937007874" header="0.35433070866141736" footer="0.15748031496062992"/>
  <pageSetup fitToHeight="5" fitToWidth="1" horizontalDpi="600" verticalDpi="600" orientation="landscape" paperSize="9" scale="92" r:id="rId1"/>
  <headerFooter alignWithMargins="0">
    <oddFooter>&amp;C&amp;".VnTime,Italic"&amp;8
</oddFooter>
  </headerFooter>
</worksheet>
</file>

<file path=xl/worksheets/sheet15.xml><?xml version="1.0" encoding="utf-8"?>
<worksheet xmlns="http://schemas.openxmlformats.org/spreadsheetml/2006/main" xmlns:r="http://schemas.openxmlformats.org/officeDocument/2006/relationships">
  <sheetPr>
    <tabColor rgb="FF00B0F0"/>
  </sheetPr>
  <dimension ref="A1:AL363"/>
  <sheetViews>
    <sheetView zoomScale="70" zoomScaleNormal="70" zoomScaleSheetLayoutView="40" zoomScalePageLayoutView="0" workbookViewId="0" topLeftCell="L1">
      <selection activeCell="G251" sqref="G251"/>
    </sheetView>
  </sheetViews>
  <sheetFormatPr defaultColWidth="8.796875" defaultRowHeight="15"/>
  <cols>
    <col min="1" max="1" width="4.19921875" style="653" bestFit="1" customWidth="1"/>
    <col min="2" max="2" width="25.09765625" style="654" customWidth="1"/>
    <col min="3" max="3" width="9" style="655" customWidth="1"/>
    <col min="4" max="4" width="7.19921875" style="655" customWidth="1"/>
    <col min="5" max="5" width="9" style="655" customWidth="1"/>
    <col min="6" max="6" width="9.3984375" style="655" customWidth="1"/>
    <col min="7" max="7" width="19.8984375" style="655" customWidth="1"/>
    <col min="8" max="8" width="13.19921875" style="656" customWidth="1"/>
    <col min="9" max="10" width="9" style="656" customWidth="1"/>
    <col min="11" max="11" width="13.19921875" style="656" customWidth="1"/>
    <col min="12" max="12" width="13.59765625" style="524" customWidth="1"/>
    <col min="13" max="14" width="9" style="524" customWidth="1"/>
    <col min="15" max="15" width="13.19921875" style="524" customWidth="1"/>
    <col min="16" max="16" width="14.09765625" style="524" customWidth="1"/>
    <col min="17" max="18" width="9.09765625" style="524" bestFit="1" customWidth="1"/>
    <col min="19" max="19" width="13.19921875" style="524" customWidth="1"/>
    <col min="20" max="20" width="14" style="657" customWidth="1"/>
    <col min="21" max="23" width="9.09765625" style="657" bestFit="1" customWidth="1"/>
    <col min="24" max="24" width="13.69921875" style="657" customWidth="1"/>
    <col min="25" max="25" width="14.09765625" style="658" customWidth="1"/>
    <col min="26" max="28" width="9.09765625" style="659" bestFit="1" customWidth="1"/>
    <col min="29" max="29" width="14.09765625" style="659" customWidth="1"/>
    <col min="30" max="30" width="10.09765625" style="656" bestFit="1" customWidth="1"/>
    <col min="31" max="33" width="9" style="656" customWidth="1"/>
    <col min="34" max="34" width="10.09765625" style="560" bestFit="1" customWidth="1"/>
    <col min="35" max="16384" width="9" style="560" customWidth="1"/>
  </cols>
  <sheetData>
    <row r="1" spans="1:34" s="516" customFormat="1" ht="18.75" customHeight="1">
      <c r="A1" s="832" t="s">
        <v>794</v>
      </c>
      <c r="B1" s="832"/>
      <c r="C1" s="832"/>
      <c r="D1" s="832"/>
      <c r="E1" s="832"/>
      <c r="F1" s="832"/>
      <c r="G1" s="832"/>
      <c r="H1" s="3"/>
      <c r="I1" s="126"/>
      <c r="J1" s="835"/>
      <c r="K1" s="835"/>
      <c r="L1" s="835"/>
      <c r="M1" s="835"/>
      <c r="N1" s="835"/>
      <c r="O1" s="835"/>
      <c r="P1" s="835"/>
      <c r="Q1" s="832" t="s">
        <v>809</v>
      </c>
      <c r="R1" s="832"/>
      <c r="S1" s="832"/>
      <c r="T1" s="832"/>
      <c r="U1" s="832"/>
      <c r="V1" s="832"/>
      <c r="W1" s="832"/>
      <c r="X1" s="832"/>
      <c r="Y1" s="832"/>
      <c r="Z1" s="832"/>
      <c r="AA1" s="832"/>
      <c r="AB1" s="832"/>
      <c r="AC1" s="832"/>
      <c r="AD1" s="832"/>
      <c r="AE1" s="832"/>
      <c r="AF1" s="832"/>
      <c r="AG1" s="832"/>
      <c r="AH1" s="832"/>
    </row>
    <row r="2" spans="1:34" s="516" customFormat="1" ht="18.75">
      <c r="A2" s="833" t="s">
        <v>260</v>
      </c>
      <c r="B2" s="833"/>
      <c r="C2" s="833"/>
      <c r="D2" s="833"/>
      <c r="E2" s="833"/>
      <c r="F2" s="833"/>
      <c r="G2" s="833"/>
      <c r="H2" s="3"/>
      <c r="I2" s="126"/>
      <c r="J2" s="836"/>
      <c r="K2" s="836"/>
      <c r="L2" s="836"/>
      <c r="M2" s="836"/>
      <c r="N2" s="836"/>
      <c r="O2" s="836"/>
      <c r="P2" s="836"/>
      <c r="Q2" s="834" t="s">
        <v>810</v>
      </c>
      <c r="R2" s="834"/>
      <c r="S2" s="834"/>
      <c r="T2" s="834"/>
      <c r="U2" s="834"/>
      <c r="V2" s="834"/>
      <c r="W2" s="834"/>
      <c r="X2" s="834"/>
      <c r="Y2" s="834"/>
      <c r="Z2" s="834"/>
      <c r="AA2" s="834"/>
      <c r="AB2" s="834"/>
      <c r="AC2" s="834"/>
      <c r="AD2" s="834"/>
      <c r="AE2" s="834"/>
      <c r="AF2" s="834"/>
      <c r="AG2" s="834"/>
      <c r="AH2" s="834"/>
    </row>
    <row r="3" spans="1:34" s="516" customFormat="1" ht="18.75">
      <c r="A3" s="810" t="s">
        <v>811</v>
      </c>
      <c r="B3" s="810"/>
      <c r="C3" s="810"/>
      <c r="D3" s="810"/>
      <c r="E3" s="810"/>
      <c r="F3" s="810"/>
      <c r="G3" s="810"/>
      <c r="H3" s="3"/>
      <c r="I3" s="126"/>
      <c r="J3" s="831"/>
      <c r="K3" s="831"/>
      <c r="L3" s="831"/>
      <c r="M3" s="831"/>
      <c r="N3" s="831"/>
      <c r="O3" s="831"/>
      <c r="P3" s="831"/>
      <c r="Q3" s="821" t="s">
        <v>802</v>
      </c>
      <c r="R3" s="821"/>
      <c r="S3" s="821"/>
      <c r="T3" s="821"/>
      <c r="U3" s="821"/>
      <c r="V3" s="821"/>
      <c r="W3" s="821"/>
      <c r="X3" s="821"/>
      <c r="Y3" s="821"/>
      <c r="Z3" s="821"/>
      <c r="AA3" s="821"/>
      <c r="AB3" s="821"/>
      <c r="AC3" s="821"/>
      <c r="AD3" s="821"/>
      <c r="AE3" s="821"/>
      <c r="AF3" s="821"/>
      <c r="AG3" s="821"/>
      <c r="AH3" s="821"/>
    </row>
    <row r="4" spans="1:34" s="516" customFormat="1" ht="20.25">
      <c r="A4" s="818"/>
      <c r="B4" s="692"/>
      <c r="C4" s="823"/>
      <c r="D4" s="824"/>
      <c r="E4" s="824"/>
      <c r="F4" s="824"/>
      <c r="G4" s="824"/>
      <c r="H4" s="824"/>
      <c r="I4" s="126"/>
      <c r="J4" s="126"/>
      <c r="K4" s="126"/>
      <c r="L4" s="693"/>
      <c r="M4" s="693"/>
      <c r="N4" s="693"/>
      <c r="O4" s="693"/>
      <c r="P4" s="693"/>
      <c r="Q4" s="693"/>
      <c r="R4" s="693"/>
      <c r="S4" s="693"/>
      <c r="T4" s="693"/>
      <c r="U4" s="512"/>
      <c r="V4" s="512"/>
      <c r="W4" s="513"/>
      <c r="X4" s="513"/>
      <c r="Y4" s="514"/>
      <c r="Z4" s="515"/>
      <c r="AA4" s="515"/>
      <c r="AB4" s="515"/>
      <c r="AC4" s="55"/>
      <c r="AD4" s="55"/>
      <c r="AE4" s="55"/>
      <c r="AF4" s="55"/>
      <c r="AG4" s="55"/>
      <c r="AH4" s="55"/>
    </row>
    <row r="5" spans="1:34" s="516" customFormat="1" ht="18.75">
      <c r="A5" s="825" t="s">
        <v>838</v>
      </c>
      <c r="B5" s="825"/>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row>
    <row r="6" spans="1:34" s="511" customFormat="1" ht="18.75" customHeight="1">
      <c r="A6" s="749" t="s">
        <v>631</v>
      </c>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row>
    <row r="7" spans="1:38" s="511" customFormat="1" ht="19.5" customHeight="1">
      <c r="A7" s="750" t="s">
        <v>800</v>
      </c>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517"/>
      <c r="AJ7" s="517"/>
      <c r="AK7" s="517"/>
      <c r="AL7" s="517"/>
    </row>
    <row r="8" spans="1:38" s="511" customFormat="1" ht="19.5">
      <c r="A8" s="872" t="s">
        <v>813</v>
      </c>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517"/>
      <c r="AJ8" s="517"/>
      <c r="AK8" s="517"/>
      <c r="AL8" s="517"/>
    </row>
    <row r="9" spans="1:33" s="528" customFormat="1" ht="15.75">
      <c r="A9" s="518"/>
      <c r="B9" s="518"/>
      <c r="C9" s="519"/>
      <c r="D9" s="520"/>
      <c r="E9" s="520"/>
      <c r="F9" s="520"/>
      <c r="G9" s="520"/>
      <c r="H9" s="518"/>
      <c r="I9" s="518"/>
      <c r="J9" s="518"/>
      <c r="K9" s="518"/>
      <c r="L9" s="521"/>
      <c r="M9" s="521"/>
      <c r="N9" s="521"/>
      <c r="O9" s="521"/>
      <c r="P9" s="521"/>
      <c r="Q9" s="521"/>
      <c r="R9" s="521"/>
      <c r="S9" s="521"/>
      <c r="T9" s="521"/>
      <c r="U9" s="522"/>
      <c r="V9" s="522"/>
      <c r="W9" s="523"/>
      <c r="X9" s="524"/>
      <c r="Y9" s="525"/>
      <c r="Z9" s="526"/>
      <c r="AA9" s="526"/>
      <c r="AB9" s="526"/>
      <c r="AC9" s="526"/>
      <c r="AD9" s="518"/>
      <c r="AE9" s="518"/>
      <c r="AF9" s="518"/>
      <c r="AG9" s="527" t="s">
        <v>0</v>
      </c>
    </row>
    <row r="10" spans="1:34" s="529" customFormat="1" ht="12.75">
      <c r="A10" s="751" t="s">
        <v>632</v>
      </c>
      <c r="B10" s="752" t="s">
        <v>633</v>
      </c>
      <c r="C10" s="752" t="s">
        <v>634</v>
      </c>
      <c r="D10" s="752" t="s">
        <v>635</v>
      </c>
      <c r="E10" s="753" t="s">
        <v>636</v>
      </c>
      <c r="F10" s="752" t="s">
        <v>637</v>
      </c>
      <c r="G10" s="752" t="s">
        <v>638</v>
      </c>
      <c r="H10" s="752"/>
      <c r="I10" s="752"/>
      <c r="J10" s="752"/>
      <c r="K10" s="752"/>
      <c r="L10" s="761" t="s">
        <v>639</v>
      </c>
      <c r="M10" s="761"/>
      <c r="N10" s="761"/>
      <c r="O10" s="761"/>
      <c r="P10" s="761" t="s">
        <v>640</v>
      </c>
      <c r="Q10" s="761"/>
      <c r="R10" s="761"/>
      <c r="S10" s="761"/>
      <c r="T10" s="763" t="s">
        <v>641</v>
      </c>
      <c r="U10" s="764"/>
      <c r="V10" s="764"/>
      <c r="W10" s="764"/>
      <c r="X10" s="765"/>
      <c r="Y10" s="756" t="s">
        <v>642</v>
      </c>
      <c r="Z10" s="756"/>
      <c r="AA10" s="756"/>
      <c r="AB10" s="756"/>
      <c r="AC10" s="757"/>
      <c r="AD10" s="752" t="s">
        <v>4</v>
      </c>
      <c r="AE10" s="752"/>
      <c r="AF10" s="752"/>
      <c r="AG10" s="752"/>
      <c r="AH10" s="752"/>
    </row>
    <row r="11" spans="1:34" s="529" customFormat="1" ht="20.25" customHeight="1">
      <c r="A11" s="751"/>
      <c r="B11" s="752"/>
      <c r="C11" s="752"/>
      <c r="D11" s="752"/>
      <c r="E11" s="754"/>
      <c r="F11" s="752"/>
      <c r="G11" s="752" t="s">
        <v>643</v>
      </c>
      <c r="H11" s="752" t="s">
        <v>644</v>
      </c>
      <c r="I11" s="752"/>
      <c r="J11" s="752"/>
      <c r="K11" s="752"/>
      <c r="L11" s="761"/>
      <c r="M11" s="761"/>
      <c r="N11" s="761"/>
      <c r="O11" s="761"/>
      <c r="P11" s="761"/>
      <c r="Q11" s="761"/>
      <c r="R11" s="761"/>
      <c r="S11" s="761"/>
      <c r="T11" s="766"/>
      <c r="U11" s="767"/>
      <c r="V11" s="767"/>
      <c r="W11" s="767"/>
      <c r="X11" s="768"/>
      <c r="Y11" s="756"/>
      <c r="Z11" s="756"/>
      <c r="AA11" s="756"/>
      <c r="AB11" s="756"/>
      <c r="AC11" s="757"/>
      <c r="AD11" s="752"/>
      <c r="AE11" s="752"/>
      <c r="AF11" s="752"/>
      <c r="AG11" s="752"/>
      <c r="AH11" s="752"/>
    </row>
    <row r="12" spans="1:34" s="529" customFormat="1" ht="12.75">
      <c r="A12" s="751"/>
      <c r="B12" s="752"/>
      <c r="C12" s="752"/>
      <c r="D12" s="752"/>
      <c r="E12" s="754"/>
      <c r="F12" s="752"/>
      <c r="G12" s="752"/>
      <c r="H12" s="752" t="s">
        <v>645</v>
      </c>
      <c r="I12" s="752" t="s">
        <v>646</v>
      </c>
      <c r="J12" s="752"/>
      <c r="K12" s="752"/>
      <c r="L12" s="761" t="s">
        <v>63</v>
      </c>
      <c r="M12" s="761" t="s">
        <v>646</v>
      </c>
      <c r="N12" s="761"/>
      <c r="O12" s="761"/>
      <c r="P12" s="761" t="s">
        <v>63</v>
      </c>
      <c r="Q12" s="761" t="s">
        <v>646</v>
      </c>
      <c r="R12" s="761"/>
      <c r="S12" s="761"/>
      <c r="T12" s="772" t="s">
        <v>63</v>
      </c>
      <c r="U12" s="758" t="s">
        <v>646</v>
      </c>
      <c r="V12" s="759"/>
      <c r="W12" s="759"/>
      <c r="X12" s="760"/>
      <c r="Y12" s="773" t="s">
        <v>63</v>
      </c>
      <c r="Z12" s="756" t="s">
        <v>646</v>
      </c>
      <c r="AA12" s="756"/>
      <c r="AB12" s="756"/>
      <c r="AC12" s="757"/>
      <c r="AD12" s="752" t="s">
        <v>63</v>
      </c>
      <c r="AE12" s="769" t="s">
        <v>646</v>
      </c>
      <c r="AF12" s="770"/>
      <c r="AG12" s="770"/>
      <c r="AH12" s="771"/>
    </row>
    <row r="13" spans="1:34" s="529" customFormat="1" ht="12.75">
      <c r="A13" s="751"/>
      <c r="B13" s="752"/>
      <c r="C13" s="752"/>
      <c r="D13" s="752"/>
      <c r="E13" s="754"/>
      <c r="F13" s="752"/>
      <c r="G13" s="752"/>
      <c r="H13" s="752"/>
      <c r="I13" s="752" t="s">
        <v>647</v>
      </c>
      <c r="J13" s="752" t="s">
        <v>648</v>
      </c>
      <c r="K13" s="752" t="s">
        <v>183</v>
      </c>
      <c r="L13" s="761"/>
      <c r="M13" s="761" t="s">
        <v>647</v>
      </c>
      <c r="N13" s="761" t="s">
        <v>648</v>
      </c>
      <c r="O13" s="761" t="s">
        <v>183</v>
      </c>
      <c r="P13" s="761"/>
      <c r="Q13" s="761" t="s">
        <v>647</v>
      </c>
      <c r="R13" s="761" t="s">
        <v>648</v>
      </c>
      <c r="S13" s="762" t="s">
        <v>183</v>
      </c>
      <c r="T13" s="772"/>
      <c r="U13" s="772" t="s">
        <v>647</v>
      </c>
      <c r="V13" s="772" t="s">
        <v>649</v>
      </c>
      <c r="W13" s="772" t="s">
        <v>648</v>
      </c>
      <c r="X13" s="772" t="s">
        <v>650</v>
      </c>
      <c r="Y13" s="773"/>
      <c r="Z13" s="756" t="s">
        <v>647</v>
      </c>
      <c r="AA13" s="756" t="s">
        <v>649</v>
      </c>
      <c r="AB13" s="756" t="s">
        <v>648</v>
      </c>
      <c r="AC13" s="757" t="s">
        <v>650</v>
      </c>
      <c r="AD13" s="752"/>
      <c r="AE13" s="752" t="s">
        <v>647</v>
      </c>
      <c r="AF13" s="752" t="s">
        <v>649</v>
      </c>
      <c r="AG13" s="752" t="s">
        <v>648</v>
      </c>
      <c r="AH13" s="752" t="s">
        <v>650</v>
      </c>
    </row>
    <row r="14" spans="1:34" s="529" customFormat="1" ht="12.75">
      <c r="A14" s="751"/>
      <c r="B14" s="752"/>
      <c r="C14" s="752"/>
      <c r="D14" s="752"/>
      <c r="E14" s="754"/>
      <c r="F14" s="752"/>
      <c r="G14" s="752"/>
      <c r="H14" s="752"/>
      <c r="I14" s="752"/>
      <c r="J14" s="752"/>
      <c r="K14" s="752"/>
      <c r="L14" s="761"/>
      <c r="M14" s="761"/>
      <c r="N14" s="761"/>
      <c r="O14" s="761"/>
      <c r="P14" s="761"/>
      <c r="Q14" s="761"/>
      <c r="R14" s="761"/>
      <c r="S14" s="762"/>
      <c r="T14" s="772"/>
      <c r="U14" s="772"/>
      <c r="V14" s="772"/>
      <c r="W14" s="772"/>
      <c r="X14" s="772"/>
      <c r="Y14" s="773"/>
      <c r="Z14" s="756"/>
      <c r="AA14" s="756"/>
      <c r="AB14" s="756"/>
      <c r="AC14" s="757"/>
      <c r="AD14" s="752"/>
      <c r="AE14" s="752"/>
      <c r="AF14" s="752"/>
      <c r="AG14" s="752"/>
      <c r="AH14" s="752"/>
    </row>
    <row r="15" spans="1:34" s="529" customFormat="1" ht="12.75">
      <c r="A15" s="751"/>
      <c r="B15" s="752"/>
      <c r="C15" s="752"/>
      <c r="D15" s="752"/>
      <c r="E15" s="755"/>
      <c r="F15" s="752"/>
      <c r="G15" s="752"/>
      <c r="H15" s="752"/>
      <c r="I15" s="752"/>
      <c r="J15" s="752"/>
      <c r="K15" s="752"/>
      <c r="L15" s="761"/>
      <c r="M15" s="761"/>
      <c r="N15" s="761"/>
      <c r="O15" s="761"/>
      <c r="P15" s="761"/>
      <c r="Q15" s="761"/>
      <c r="R15" s="761"/>
      <c r="S15" s="762"/>
      <c r="T15" s="772"/>
      <c r="U15" s="772"/>
      <c r="V15" s="772"/>
      <c r="W15" s="772"/>
      <c r="X15" s="772"/>
      <c r="Y15" s="773"/>
      <c r="Z15" s="756"/>
      <c r="AA15" s="756"/>
      <c r="AB15" s="756"/>
      <c r="AC15" s="757"/>
      <c r="AD15" s="752"/>
      <c r="AE15" s="752"/>
      <c r="AF15" s="752"/>
      <c r="AG15" s="752"/>
      <c r="AH15" s="752"/>
    </row>
    <row r="16" spans="1:34" s="538" customFormat="1" ht="15.75">
      <c r="A16" s="530" t="s">
        <v>5</v>
      </c>
      <c r="B16" s="531" t="s">
        <v>6</v>
      </c>
      <c r="C16" s="532">
        <v>1</v>
      </c>
      <c r="D16" s="532">
        <f>C16+1</f>
        <v>2</v>
      </c>
      <c r="E16" s="532">
        <f>D16+1</f>
        <v>3</v>
      </c>
      <c r="F16" s="532">
        <f>D16+1</f>
        <v>3</v>
      </c>
      <c r="G16" s="532">
        <f aca="true" t="shared" si="0" ref="G16:AA16">F16+1</f>
        <v>4</v>
      </c>
      <c r="H16" s="533">
        <f t="shared" si="0"/>
        <v>5</v>
      </c>
      <c r="I16" s="533">
        <f t="shared" si="0"/>
        <v>6</v>
      </c>
      <c r="J16" s="533">
        <f t="shared" si="0"/>
        <v>7</v>
      </c>
      <c r="K16" s="533">
        <f t="shared" si="0"/>
        <v>8</v>
      </c>
      <c r="L16" s="534">
        <f t="shared" si="0"/>
        <v>9</v>
      </c>
      <c r="M16" s="534">
        <f t="shared" si="0"/>
        <v>10</v>
      </c>
      <c r="N16" s="534">
        <f t="shared" si="0"/>
        <v>11</v>
      </c>
      <c r="O16" s="534">
        <f t="shared" si="0"/>
        <v>12</v>
      </c>
      <c r="P16" s="534">
        <f t="shared" si="0"/>
        <v>13</v>
      </c>
      <c r="Q16" s="534">
        <f t="shared" si="0"/>
        <v>14</v>
      </c>
      <c r="R16" s="534">
        <f t="shared" si="0"/>
        <v>15</v>
      </c>
      <c r="S16" s="534">
        <f t="shared" si="0"/>
        <v>16</v>
      </c>
      <c r="T16" s="534">
        <f t="shared" si="0"/>
        <v>17</v>
      </c>
      <c r="U16" s="534">
        <f t="shared" si="0"/>
        <v>18</v>
      </c>
      <c r="V16" s="534">
        <f t="shared" si="0"/>
        <v>19</v>
      </c>
      <c r="W16" s="534">
        <f t="shared" si="0"/>
        <v>20</v>
      </c>
      <c r="X16" s="534">
        <f>W16+1</f>
        <v>21</v>
      </c>
      <c r="Y16" s="535">
        <f>X16+1</f>
        <v>22</v>
      </c>
      <c r="Z16" s="536">
        <f t="shared" si="0"/>
        <v>23</v>
      </c>
      <c r="AA16" s="536">
        <f t="shared" si="0"/>
        <v>24</v>
      </c>
      <c r="AB16" s="536">
        <f>AA16+1</f>
        <v>25</v>
      </c>
      <c r="AC16" s="537">
        <f>AB16+1</f>
        <v>26</v>
      </c>
      <c r="AD16" s="533" t="s">
        <v>651</v>
      </c>
      <c r="AE16" s="533" t="s">
        <v>652</v>
      </c>
      <c r="AF16" s="533" t="s">
        <v>653</v>
      </c>
      <c r="AG16" s="533" t="s">
        <v>654</v>
      </c>
      <c r="AH16" s="533" t="s">
        <v>655</v>
      </c>
    </row>
    <row r="17" spans="1:34" s="551" customFormat="1" ht="15.75">
      <c r="A17" s="539"/>
      <c r="B17" s="540" t="s">
        <v>293</v>
      </c>
      <c r="C17" s="541"/>
      <c r="D17" s="541"/>
      <c r="E17" s="541"/>
      <c r="F17" s="541"/>
      <c r="G17" s="541"/>
      <c r="H17" s="542">
        <f>H18</f>
        <v>1126773.5431</v>
      </c>
      <c r="I17" s="542">
        <f aca="true" t="shared" si="1" ref="I17:AC18">I18</f>
        <v>0</v>
      </c>
      <c r="J17" s="542">
        <f t="shared" si="1"/>
        <v>0</v>
      </c>
      <c r="K17" s="542">
        <f t="shared" si="1"/>
        <v>1126773.5431</v>
      </c>
      <c r="L17" s="543">
        <f>L18</f>
        <v>503380.2</v>
      </c>
      <c r="M17" s="543">
        <f t="shared" si="1"/>
        <v>0</v>
      </c>
      <c r="N17" s="543">
        <f t="shared" si="1"/>
        <v>0</v>
      </c>
      <c r="O17" s="543">
        <f t="shared" si="1"/>
        <v>503380.2</v>
      </c>
      <c r="P17" s="544">
        <v>517947.66800000006</v>
      </c>
      <c r="Q17" s="544">
        <v>0</v>
      </c>
      <c r="R17" s="544">
        <v>0</v>
      </c>
      <c r="S17" s="544">
        <v>517947.66800000006</v>
      </c>
      <c r="T17" s="544">
        <v>149662.86399999997</v>
      </c>
      <c r="U17" s="544">
        <v>0</v>
      </c>
      <c r="V17" s="544">
        <v>0</v>
      </c>
      <c r="W17" s="544">
        <v>0</v>
      </c>
      <c r="X17" s="544">
        <v>149662.86399999997</v>
      </c>
      <c r="Y17" s="545">
        <f t="shared" si="1"/>
        <v>122247.85</v>
      </c>
      <c r="Z17" s="546">
        <f t="shared" si="1"/>
        <v>0</v>
      </c>
      <c r="AA17" s="546">
        <f t="shared" si="1"/>
        <v>0</v>
      </c>
      <c r="AB17" s="545">
        <f t="shared" si="1"/>
        <v>0</v>
      </c>
      <c r="AC17" s="545">
        <f t="shared" si="1"/>
        <v>122247.85</v>
      </c>
      <c r="AD17" s="547">
        <f>Y17/T17</f>
        <v>0.8168215329622452</v>
      </c>
      <c r="AE17" s="548"/>
      <c r="AF17" s="548"/>
      <c r="AG17" s="549"/>
      <c r="AH17" s="550">
        <f>AC17/X17</f>
        <v>0.8168215329622452</v>
      </c>
    </row>
    <row r="18" spans="1:34" ht="15.75">
      <c r="A18" s="552"/>
      <c r="B18" s="553" t="s">
        <v>115</v>
      </c>
      <c r="C18" s="554"/>
      <c r="D18" s="554"/>
      <c r="E18" s="554"/>
      <c r="F18" s="554"/>
      <c r="G18" s="554"/>
      <c r="H18" s="555">
        <f>H19</f>
        <v>1126773.5431</v>
      </c>
      <c r="I18" s="555">
        <f t="shared" si="1"/>
        <v>0</v>
      </c>
      <c r="J18" s="555">
        <f t="shared" si="1"/>
        <v>0</v>
      </c>
      <c r="K18" s="555">
        <f t="shared" si="1"/>
        <v>1126773.5431</v>
      </c>
      <c r="L18" s="556">
        <f t="shared" si="1"/>
        <v>503380.2</v>
      </c>
      <c r="M18" s="556">
        <f t="shared" si="1"/>
        <v>0</v>
      </c>
      <c r="N18" s="556">
        <f t="shared" si="1"/>
        <v>0</v>
      </c>
      <c r="O18" s="556">
        <f t="shared" si="1"/>
        <v>503380.2</v>
      </c>
      <c r="P18" s="557">
        <v>517947.66800000006</v>
      </c>
      <c r="Q18" s="557">
        <v>0</v>
      </c>
      <c r="R18" s="557">
        <v>0</v>
      </c>
      <c r="S18" s="557">
        <v>517947.66800000006</v>
      </c>
      <c r="T18" s="557">
        <v>149662.86399999997</v>
      </c>
      <c r="U18" s="557">
        <v>0</v>
      </c>
      <c r="V18" s="557">
        <v>0</v>
      </c>
      <c r="W18" s="557">
        <v>0</v>
      </c>
      <c r="X18" s="557">
        <v>149662.86399999997</v>
      </c>
      <c r="Y18" s="558">
        <f t="shared" si="1"/>
        <v>122247.85</v>
      </c>
      <c r="Z18" s="558">
        <f t="shared" si="1"/>
        <v>0</v>
      </c>
      <c r="AA18" s="558">
        <f t="shared" si="1"/>
        <v>0</v>
      </c>
      <c r="AB18" s="558">
        <f t="shared" si="1"/>
        <v>0</v>
      </c>
      <c r="AC18" s="558">
        <f t="shared" si="1"/>
        <v>122247.85</v>
      </c>
      <c r="AD18" s="547">
        <f>Y18/T18</f>
        <v>0.8168215329622452</v>
      </c>
      <c r="AE18" s="559"/>
      <c r="AF18" s="559"/>
      <c r="AG18" s="547"/>
      <c r="AH18" s="550">
        <f>AC18/X18</f>
        <v>0.8168215329622452</v>
      </c>
    </row>
    <row r="19" spans="1:34" ht="15.75">
      <c r="A19" s="552" t="s">
        <v>5</v>
      </c>
      <c r="B19" s="561" t="s">
        <v>294</v>
      </c>
      <c r="C19" s="554"/>
      <c r="D19" s="554"/>
      <c r="E19" s="554"/>
      <c r="F19" s="554"/>
      <c r="G19" s="554"/>
      <c r="H19" s="555">
        <f aca="true" t="shared" si="2" ref="H19:AC19">+H20+H163</f>
        <v>1126773.5431</v>
      </c>
      <c r="I19" s="555">
        <f t="shared" si="2"/>
        <v>0</v>
      </c>
      <c r="J19" s="555">
        <f t="shared" si="2"/>
        <v>0</v>
      </c>
      <c r="K19" s="555">
        <f t="shared" si="2"/>
        <v>1126773.5431</v>
      </c>
      <c r="L19" s="556">
        <f>+L20+L163</f>
        <v>503380.2</v>
      </c>
      <c r="M19" s="556">
        <f t="shared" si="2"/>
        <v>0</v>
      </c>
      <c r="N19" s="556">
        <f t="shared" si="2"/>
        <v>0</v>
      </c>
      <c r="O19" s="556">
        <f t="shared" si="2"/>
        <v>503380.2</v>
      </c>
      <c r="P19" s="557">
        <v>517947.66800000006</v>
      </c>
      <c r="Q19" s="557">
        <v>0</v>
      </c>
      <c r="R19" s="557">
        <v>0</v>
      </c>
      <c r="S19" s="557">
        <v>517947.66800000006</v>
      </c>
      <c r="T19" s="557">
        <v>149662.86399999997</v>
      </c>
      <c r="U19" s="557">
        <v>0</v>
      </c>
      <c r="V19" s="557">
        <v>0</v>
      </c>
      <c r="W19" s="557">
        <v>0</v>
      </c>
      <c r="X19" s="557">
        <v>149662.86399999997</v>
      </c>
      <c r="Y19" s="558">
        <f t="shared" si="2"/>
        <v>122247.85</v>
      </c>
      <c r="Z19" s="558">
        <f t="shared" si="2"/>
        <v>0</v>
      </c>
      <c r="AA19" s="558">
        <f t="shared" si="2"/>
        <v>0</v>
      </c>
      <c r="AB19" s="558">
        <f t="shared" si="2"/>
        <v>0</v>
      </c>
      <c r="AC19" s="558">
        <f t="shared" si="2"/>
        <v>122247.85</v>
      </c>
      <c r="AD19" s="547">
        <f>Y19/T19</f>
        <v>0.8168215329622452</v>
      </c>
      <c r="AE19" s="559"/>
      <c r="AF19" s="559"/>
      <c r="AG19" s="547"/>
      <c r="AH19" s="550">
        <f>AC19/X19</f>
        <v>0.8168215329622452</v>
      </c>
    </row>
    <row r="20" spans="1:34" s="563" customFormat="1" ht="27">
      <c r="A20" s="552" t="s">
        <v>295</v>
      </c>
      <c r="B20" s="561" t="s">
        <v>656</v>
      </c>
      <c r="C20" s="562"/>
      <c r="D20" s="562"/>
      <c r="E20" s="562"/>
      <c r="F20" s="562"/>
      <c r="G20" s="562"/>
      <c r="H20" s="542">
        <f aca="true" t="shared" si="3" ref="H20:AC20">H21+H100+H103+H148+H106</f>
        <v>1123821.5431</v>
      </c>
      <c r="I20" s="542">
        <f t="shared" si="3"/>
        <v>0</v>
      </c>
      <c r="J20" s="542">
        <f t="shared" si="3"/>
        <v>0</v>
      </c>
      <c r="K20" s="542">
        <f t="shared" si="3"/>
        <v>1123821.5431</v>
      </c>
      <c r="L20" s="543">
        <f>L21+L100+L103+L148+L106</f>
        <v>503281.386</v>
      </c>
      <c r="M20" s="543">
        <f t="shared" si="3"/>
        <v>0</v>
      </c>
      <c r="N20" s="543">
        <f t="shared" si="3"/>
        <v>0</v>
      </c>
      <c r="O20" s="543">
        <f t="shared" si="3"/>
        <v>503281.386</v>
      </c>
      <c r="P20" s="544">
        <v>517847.8830000001</v>
      </c>
      <c r="Q20" s="544">
        <v>0</v>
      </c>
      <c r="R20" s="544">
        <v>0</v>
      </c>
      <c r="S20" s="544">
        <v>517847.8830000001</v>
      </c>
      <c r="T20" s="544">
        <v>149661.89299999998</v>
      </c>
      <c r="U20" s="544">
        <v>0</v>
      </c>
      <c r="V20" s="544">
        <v>0</v>
      </c>
      <c r="W20" s="544">
        <v>0</v>
      </c>
      <c r="X20" s="544">
        <v>149661.89299999998</v>
      </c>
      <c r="Y20" s="545">
        <f t="shared" si="3"/>
        <v>122247.85</v>
      </c>
      <c r="Z20" s="545">
        <f t="shared" si="3"/>
        <v>0</v>
      </c>
      <c r="AA20" s="545">
        <f t="shared" si="3"/>
        <v>0</v>
      </c>
      <c r="AB20" s="545">
        <f t="shared" si="3"/>
        <v>0</v>
      </c>
      <c r="AC20" s="545">
        <f t="shared" si="3"/>
        <v>122247.85</v>
      </c>
      <c r="AD20" s="547">
        <v>0.8115088662306009</v>
      </c>
      <c r="AE20" s="547"/>
      <c r="AF20" s="547"/>
      <c r="AG20" s="547"/>
      <c r="AH20" s="550">
        <v>0.8115088662306009</v>
      </c>
    </row>
    <row r="21" spans="1:34" s="563" customFormat="1" ht="27">
      <c r="A21" s="552" t="s">
        <v>14</v>
      </c>
      <c r="B21" s="561" t="s">
        <v>297</v>
      </c>
      <c r="C21" s="562"/>
      <c r="D21" s="562"/>
      <c r="E21" s="562"/>
      <c r="F21" s="564"/>
      <c r="G21" s="564"/>
      <c r="H21" s="542">
        <f>H22</f>
        <v>712062.8801</v>
      </c>
      <c r="I21" s="542">
        <f aca="true" t="shared" si="4" ref="I21:AC21">I22</f>
        <v>0</v>
      </c>
      <c r="J21" s="542">
        <f t="shared" si="4"/>
        <v>0</v>
      </c>
      <c r="K21" s="542">
        <f t="shared" si="4"/>
        <v>712062.8801</v>
      </c>
      <c r="L21" s="543">
        <f t="shared" si="4"/>
        <v>374031.776</v>
      </c>
      <c r="M21" s="543">
        <f t="shared" si="4"/>
        <v>0</v>
      </c>
      <c r="N21" s="543">
        <f t="shared" si="4"/>
        <v>0</v>
      </c>
      <c r="O21" s="543">
        <f t="shared" si="4"/>
        <v>374031.776</v>
      </c>
      <c r="P21" s="544">
        <v>376134.20100000006</v>
      </c>
      <c r="Q21" s="544">
        <v>0</v>
      </c>
      <c r="R21" s="544">
        <v>0</v>
      </c>
      <c r="S21" s="544">
        <v>376134.20100000006</v>
      </c>
      <c r="T21" s="544">
        <v>76731.799</v>
      </c>
      <c r="U21" s="544">
        <v>0</v>
      </c>
      <c r="V21" s="544">
        <v>0</v>
      </c>
      <c r="W21" s="544">
        <v>0</v>
      </c>
      <c r="X21" s="544">
        <v>76731.799</v>
      </c>
      <c r="Y21" s="545">
        <f t="shared" si="4"/>
        <v>60725.984000000004</v>
      </c>
      <c r="Z21" s="545">
        <f t="shared" si="4"/>
        <v>0</v>
      </c>
      <c r="AA21" s="545">
        <f t="shared" si="4"/>
        <v>0</v>
      </c>
      <c r="AB21" s="545">
        <f t="shared" si="4"/>
        <v>0</v>
      </c>
      <c r="AC21" s="545">
        <f t="shared" si="4"/>
        <v>60725.984000000004</v>
      </c>
      <c r="AD21" s="547">
        <f>Y21/T21</f>
        <v>0.7914057117310648</v>
      </c>
      <c r="AE21" s="559"/>
      <c r="AF21" s="559"/>
      <c r="AG21" s="547"/>
      <c r="AH21" s="550">
        <f>AC21/X21</f>
        <v>0.7914057117310648</v>
      </c>
    </row>
    <row r="22" spans="1:34" s="567" customFormat="1" ht="15.75">
      <c r="A22" s="565"/>
      <c r="B22" s="566" t="s">
        <v>115</v>
      </c>
      <c r="C22" s="564"/>
      <c r="D22" s="564"/>
      <c r="E22" s="564"/>
      <c r="F22" s="564"/>
      <c r="G22" s="564"/>
      <c r="H22" s="542">
        <f aca="true" t="shared" si="5" ref="H22:N22">H23+H35</f>
        <v>712062.8801</v>
      </c>
      <c r="I22" s="542">
        <f t="shared" si="5"/>
        <v>0</v>
      </c>
      <c r="J22" s="542">
        <f t="shared" si="5"/>
        <v>0</v>
      </c>
      <c r="K22" s="542">
        <f t="shared" si="5"/>
        <v>712062.8801</v>
      </c>
      <c r="L22" s="543">
        <f t="shared" si="5"/>
        <v>374031.776</v>
      </c>
      <c r="M22" s="543">
        <f t="shared" si="5"/>
        <v>0</v>
      </c>
      <c r="N22" s="543">
        <f t="shared" si="5"/>
        <v>0</v>
      </c>
      <c r="O22" s="543">
        <f>O23+O35+O99</f>
        <v>374031.776</v>
      </c>
      <c r="P22" s="544">
        <v>376134.20100000006</v>
      </c>
      <c r="Q22" s="544">
        <v>0</v>
      </c>
      <c r="R22" s="544">
        <v>0</v>
      </c>
      <c r="S22" s="544">
        <v>376134.20100000006</v>
      </c>
      <c r="T22" s="544">
        <v>76731.799</v>
      </c>
      <c r="U22" s="544">
        <v>0</v>
      </c>
      <c r="V22" s="544">
        <v>0</v>
      </c>
      <c r="W22" s="544">
        <v>0</v>
      </c>
      <c r="X22" s="544">
        <v>76731.799</v>
      </c>
      <c r="Y22" s="545">
        <f>Y23+Y35+Y99</f>
        <v>60725.984000000004</v>
      </c>
      <c r="Z22" s="545">
        <f>Z23+Z35+Z99</f>
        <v>0</v>
      </c>
      <c r="AA22" s="545">
        <f>AA23+AA35+AA99</f>
        <v>0</v>
      </c>
      <c r="AB22" s="545">
        <f>AB23+AB35+AB99</f>
        <v>0</v>
      </c>
      <c r="AC22" s="545">
        <f>AC23+AC35+AC99</f>
        <v>60725.984000000004</v>
      </c>
      <c r="AD22" s="547">
        <f>Y22/T22</f>
        <v>0.7914057117310648</v>
      </c>
      <c r="AE22" s="559"/>
      <c r="AF22" s="559"/>
      <c r="AG22" s="547"/>
      <c r="AH22" s="550">
        <f>AC22/X22</f>
        <v>0.7914057117310648</v>
      </c>
    </row>
    <row r="23" spans="1:34" s="563" customFormat="1" ht="15.75">
      <c r="A23" s="552">
        <v>1</v>
      </c>
      <c r="B23" s="561" t="s">
        <v>298</v>
      </c>
      <c r="C23" s="562"/>
      <c r="D23" s="562"/>
      <c r="E23" s="562"/>
      <c r="F23" s="562"/>
      <c r="G23" s="562"/>
      <c r="H23" s="542">
        <f aca="true" t="shared" si="6" ref="H23:AC23">H24+H25+H26+H27+H30+H31+H32+H33+H34+H28</f>
        <v>0</v>
      </c>
      <c r="I23" s="542">
        <f t="shared" si="6"/>
        <v>0</v>
      </c>
      <c r="J23" s="542">
        <f t="shared" si="6"/>
        <v>0</v>
      </c>
      <c r="K23" s="542">
        <f t="shared" si="6"/>
        <v>0</v>
      </c>
      <c r="L23" s="543">
        <f t="shared" si="6"/>
        <v>0</v>
      </c>
      <c r="M23" s="543">
        <f t="shared" si="6"/>
        <v>0</v>
      </c>
      <c r="N23" s="543">
        <f t="shared" si="6"/>
        <v>0</v>
      </c>
      <c r="O23" s="543">
        <f t="shared" si="6"/>
        <v>0</v>
      </c>
      <c r="P23" s="544">
        <v>0</v>
      </c>
      <c r="Q23" s="544">
        <v>0</v>
      </c>
      <c r="R23" s="544">
        <v>0</v>
      </c>
      <c r="S23" s="544">
        <v>0</v>
      </c>
      <c r="T23" s="568">
        <v>0</v>
      </c>
      <c r="U23" s="568">
        <v>0</v>
      </c>
      <c r="V23" s="568">
        <v>0</v>
      </c>
      <c r="W23" s="568">
        <v>0</v>
      </c>
      <c r="X23" s="568">
        <v>0</v>
      </c>
      <c r="Y23" s="545">
        <f t="shared" si="6"/>
        <v>0</v>
      </c>
      <c r="Z23" s="545">
        <f t="shared" si="6"/>
        <v>0</v>
      </c>
      <c r="AA23" s="545">
        <f t="shared" si="6"/>
        <v>0</v>
      </c>
      <c r="AB23" s="545">
        <f t="shared" si="6"/>
        <v>0</v>
      </c>
      <c r="AC23" s="545">
        <f t="shared" si="6"/>
        <v>0</v>
      </c>
      <c r="AD23" s="547"/>
      <c r="AE23" s="559"/>
      <c r="AF23" s="559"/>
      <c r="AG23" s="547"/>
      <c r="AH23" s="550"/>
    </row>
    <row r="24" spans="1:34" ht="15.75">
      <c r="A24" s="552"/>
      <c r="B24" s="569" t="s">
        <v>299</v>
      </c>
      <c r="C24" s="554"/>
      <c r="D24" s="554"/>
      <c r="E24" s="554"/>
      <c r="F24" s="554"/>
      <c r="G24" s="554"/>
      <c r="H24" s="570"/>
      <c r="I24" s="570"/>
      <c r="J24" s="570"/>
      <c r="K24" s="570"/>
      <c r="L24" s="571"/>
      <c r="M24" s="571"/>
      <c r="N24" s="571"/>
      <c r="O24" s="571"/>
      <c r="P24" s="571"/>
      <c r="Q24" s="571"/>
      <c r="R24" s="571"/>
      <c r="S24" s="571"/>
      <c r="T24" s="570"/>
      <c r="U24" s="570"/>
      <c r="V24" s="570"/>
      <c r="W24" s="570"/>
      <c r="X24" s="570"/>
      <c r="Y24" s="572"/>
      <c r="Z24" s="573"/>
      <c r="AA24" s="573"/>
      <c r="AB24" s="573"/>
      <c r="AC24" s="573"/>
      <c r="AD24" s="574"/>
      <c r="AE24" s="574"/>
      <c r="AF24" s="574"/>
      <c r="AG24" s="574"/>
      <c r="AH24" s="575"/>
    </row>
    <row r="25" spans="1:34" s="563" customFormat="1" ht="15.75">
      <c r="A25" s="552"/>
      <c r="B25" s="569" t="s">
        <v>300</v>
      </c>
      <c r="C25" s="562"/>
      <c r="D25" s="562"/>
      <c r="E25" s="562"/>
      <c r="F25" s="562"/>
      <c r="G25" s="562"/>
      <c r="H25" s="576"/>
      <c r="I25" s="576"/>
      <c r="J25" s="576"/>
      <c r="K25" s="576"/>
      <c r="L25" s="577"/>
      <c r="M25" s="577"/>
      <c r="N25" s="577"/>
      <c r="O25" s="577"/>
      <c r="P25" s="577"/>
      <c r="Q25" s="577"/>
      <c r="R25" s="577"/>
      <c r="S25" s="577"/>
      <c r="T25" s="576"/>
      <c r="U25" s="576"/>
      <c r="V25" s="576"/>
      <c r="W25" s="576"/>
      <c r="X25" s="576"/>
      <c r="Y25" s="578"/>
      <c r="Z25" s="579"/>
      <c r="AA25" s="579"/>
      <c r="AB25" s="579"/>
      <c r="AC25" s="579"/>
      <c r="AD25" s="580"/>
      <c r="AE25" s="580"/>
      <c r="AF25" s="580"/>
      <c r="AG25" s="580"/>
      <c r="AH25" s="581"/>
    </row>
    <row r="26" spans="1:34" ht="15.75">
      <c r="A26" s="552"/>
      <c r="B26" s="569" t="s">
        <v>301</v>
      </c>
      <c r="C26" s="554"/>
      <c r="D26" s="554"/>
      <c r="E26" s="554"/>
      <c r="F26" s="554"/>
      <c r="G26" s="554"/>
      <c r="H26" s="570"/>
      <c r="I26" s="570"/>
      <c r="J26" s="570"/>
      <c r="K26" s="570"/>
      <c r="L26" s="571"/>
      <c r="M26" s="571"/>
      <c r="N26" s="571"/>
      <c r="O26" s="571"/>
      <c r="P26" s="571"/>
      <c r="Q26" s="571"/>
      <c r="R26" s="571"/>
      <c r="S26" s="571"/>
      <c r="T26" s="570"/>
      <c r="U26" s="570"/>
      <c r="V26" s="570"/>
      <c r="W26" s="570"/>
      <c r="X26" s="570"/>
      <c r="Y26" s="572"/>
      <c r="Z26" s="573"/>
      <c r="AA26" s="573"/>
      <c r="AB26" s="573"/>
      <c r="AC26" s="573"/>
      <c r="AD26" s="574"/>
      <c r="AE26" s="574"/>
      <c r="AF26" s="574"/>
      <c r="AG26" s="574"/>
      <c r="AH26" s="575"/>
    </row>
    <row r="27" spans="1:34" ht="15.75">
      <c r="A27" s="552"/>
      <c r="B27" s="582" t="s">
        <v>302</v>
      </c>
      <c r="C27" s="554"/>
      <c r="D27" s="554"/>
      <c r="E27" s="554"/>
      <c r="F27" s="554"/>
      <c r="G27" s="554"/>
      <c r="H27" s="570"/>
      <c r="I27" s="570"/>
      <c r="J27" s="570"/>
      <c r="K27" s="570"/>
      <c r="L27" s="571"/>
      <c r="M27" s="571"/>
      <c r="N27" s="571"/>
      <c r="O27" s="571"/>
      <c r="P27" s="571"/>
      <c r="Q27" s="571"/>
      <c r="R27" s="571"/>
      <c r="S27" s="571"/>
      <c r="T27" s="570"/>
      <c r="U27" s="570"/>
      <c r="V27" s="570"/>
      <c r="W27" s="570"/>
      <c r="X27" s="570"/>
      <c r="Y27" s="572"/>
      <c r="Z27" s="573"/>
      <c r="AA27" s="573"/>
      <c r="AB27" s="573"/>
      <c r="AC27" s="573"/>
      <c r="AD27" s="574"/>
      <c r="AE27" s="574"/>
      <c r="AF27" s="574"/>
      <c r="AG27" s="574"/>
      <c r="AH27" s="575"/>
    </row>
    <row r="28" spans="1:34" s="567" customFormat="1" ht="15.75">
      <c r="A28" s="565"/>
      <c r="B28" s="582" t="s">
        <v>303</v>
      </c>
      <c r="C28" s="564"/>
      <c r="D28" s="564"/>
      <c r="E28" s="564"/>
      <c r="F28" s="564"/>
      <c r="G28" s="564"/>
      <c r="H28" s="542"/>
      <c r="I28" s="542"/>
      <c r="J28" s="542"/>
      <c r="K28" s="542"/>
      <c r="L28" s="543"/>
      <c r="M28" s="543"/>
      <c r="N28" s="543"/>
      <c r="O28" s="543"/>
      <c r="P28" s="544"/>
      <c r="Q28" s="544"/>
      <c r="R28" s="544"/>
      <c r="S28" s="544"/>
      <c r="T28" s="568"/>
      <c r="U28" s="568"/>
      <c r="V28" s="568"/>
      <c r="W28" s="568"/>
      <c r="X28" s="568"/>
      <c r="Y28" s="545"/>
      <c r="Z28" s="583"/>
      <c r="AA28" s="583"/>
      <c r="AB28" s="583"/>
      <c r="AC28" s="583"/>
      <c r="AD28" s="547"/>
      <c r="AE28" s="559"/>
      <c r="AF28" s="559"/>
      <c r="AG28" s="547"/>
      <c r="AH28" s="550"/>
    </row>
    <row r="29" spans="1:34" ht="15.75" hidden="1">
      <c r="A29" s="552"/>
      <c r="B29" s="584"/>
      <c r="C29" s="554"/>
      <c r="D29" s="554"/>
      <c r="E29" s="554"/>
      <c r="F29" s="554"/>
      <c r="G29" s="554"/>
      <c r="H29" s="570"/>
      <c r="I29" s="570"/>
      <c r="J29" s="570"/>
      <c r="K29" s="570"/>
      <c r="L29" s="571"/>
      <c r="M29" s="571"/>
      <c r="N29" s="571"/>
      <c r="O29" s="571"/>
      <c r="P29" s="571"/>
      <c r="Q29" s="571"/>
      <c r="R29" s="571"/>
      <c r="S29" s="571"/>
      <c r="T29" s="570"/>
      <c r="U29" s="570"/>
      <c r="V29" s="570"/>
      <c r="W29" s="570"/>
      <c r="X29" s="570"/>
      <c r="Y29" s="572"/>
      <c r="Z29" s="573"/>
      <c r="AA29" s="573"/>
      <c r="AB29" s="573"/>
      <c r="AC29" s="573"/>
      <c r="AD29" s="585"/>
      <c r="AE29" s="586"/>
      <c r="AF29" s="586"/>
      <c r="AG29" s="585"/>
      <c r="AH29" s="587"/>
    </row>
    <row r="30" spans="1:34" ht="27">
      <c r="A30" s="552"/>
      <c r="B30" s="582" t="s">
        <v>309</v>
      </c>
      <c r="C30" s="554"/>
      <c r="D30" s="554"/>
      <c r="E30" s="554"/>
      <c r="F30" s="554"/>
      <c r="G30" s="554"/>
      <c r="H30" s="570"/>
      <c r="I30" s="570"/>
      <c r="J30" s="570"/>
      <c r="K30" s="570"/>
      <c r="L30" s="571"/>
      <c r="M30" s="571"/>
      <c r="N30" s="571"/>
      <c r="O30" s="571"/>
      <c r="P30" s="571"/>
      <c r="Q30" s="571"/>
      <c r="R30" s="571"/>
      <c r="S30" s="571"/>
      <c r="T30" s="570"/>
      <c r="U30" s="570"/>
      <c r="V30" s="570"/>
      <c r="W30" s="570"/>
      <c r="X30" s="570"/>
      <c r="Y30" s="572"/>
      <c r="Z30" s="573"/>
      <c r="AA30" s="573"/>
      <c r="AB30" s="573"/>
      <c r="AC30" s="573"/>
      <c r="AD30" s="585"/>
      <c r="AE30" s="586"/>
      <c r="AF30" s="586"/>
      <c r="AG30" s="585"/>
      <c r="AH30" s="587"/>
    </row>
    <row r="31" spans="1:34" ht="15.75">
      <c r="A31" s="552"/>
      <c r="B31" s="569" t="s">
        <v>310</v>
      </c>
      <c r="C31" s="554"/>
      <c r="D31" s="554"/>
      <c r="E31" s="554"/>
      <c r="F31" s="554"/>
      <c r="G31" s="554"/>
      <c r="H31" s="570"/>
      <c r="I31" s="570"/>
      <c r="J31" s="570"/>
      <c r="K31" s="570"/>
      <c r="L31" s="571"/>
      <c r="M31" s="571"/>
      <c r="N31" s="571"/>
      <c r="O31" s="571"/>
      <c r="P31" s="571"/>
      <c r="Q31" s="571"/>
      <c r="R31" s="571"/>
      <c r="S31" s="571"/>
      <c r="T31" s="570"/>
      <c r="U31" s="570"/>
      <c r="V31" s="570"/>
      <c r="W31" s="570"/>
      <c r="X31" s="570"/>
      <c r="Y31" s="572"/>
      <c r="Z31" s="573"/>
      <c r="AA31" s="573"/>
      <c r="AB31" s="573"/>
      <c r="AC31" s="573"/>
      <c r="AD31" s="585"/>
      <c r="AE31" s="586"/>
      <c r="AF31" s="586"/>
      <c r="AG31" s="585"/>
      <c r="AH31" s="587"/>
    </row>
    <row r="32" spans="1:34" ht="15.75">
      <c r="A32" s="552"/>
      <c r="B32" s="569" t="s">
        <v>311</v>
      </c>
      <c r="C32" s="554"/>
      <c r="D32" s="554"/>
      <c r="E32" s="554"/>
      <c r="F32" s="554"/>
      <c r="G32" s="554"/>
      <c r="H32" s="570"/>
      <c r="I32" s="570"/>
      <c r="J32" s="570"/>
      <c r="K32" s="570"/>
      <c r="L32" s="571"/>
      <c r="M32" s="571"/>
      <c r="N32" s="571"/>
      <c r="O32" s="571"/>
      <c r="P32" s="571"/>
      <c r="Q32" s="571"/>
      <c r="R32" s="571"/>
      <c r="S32" s="571"/>
      <c r="T32" s="570"/>
      <c r="U32" s="570"/>
      <c r="V32" s="570"/>
      <c r="W32" s="570"/>
      <c r="X32" s="570"/>
      <c r="Y32" s="572"/>
      <c r="Z32" s="573"/>
      <c r="AA32" s="573"/>
      <c r="AB32" s="573"/>
      <c r="AC32" s="573"/>
      <c r="AD32" s="585"/>
      <c r="AE32" s="586"/>
      <c r="AF32" s="586"/>
      <c r="AG32" s="585"/>
      <c r="AH32" s="587"/>
    </row>
    <row r="33" spans="1:34" ht="15.75">
      <c r="A33" s="552"/>
      <c r="B33" s="569" t="s">
        <v>312</v>
      </c>
      <c r="C33" s="554"/>
      <c r="D33" s="554"/>
      <c r="E33" s="554"/>
      <c r="F33" s="554"/>
      <c r="G33" s="554"/>
      <c r="H33" s="570"/>
      <c r="I33" s="570"/>
      <c r="J33" s="570"/>
      <c r="K33" s="570"/>
      <c r="L33" s="571"/>
      <c r="M33" s="571"/>
      <c r="N33" s="571"/>
      <c r="O33" s="571"/>
      <c r="P33" s="571"/>
      <c r="Q33" s="571"/>
      <c r="R33" s="571"/>
      <c r="S33" s="571"/>
      <c r="T33" s="570"/>
      <c r="U33" s="570"/>
      <c r="V33" s="570"/>
      <c r="W33" s="570"/>
      <c r="X33" s="570"/>
      <c r="Y33" s="572"/>
      <c r="Z33" s="573"/>
      <c r="AA33" s="573"/>
      <c r="AB33" s="573"/>
      <c r="AC33" s="573"/>
      <c r="AD33" s="585"/>
      <c r="AE33" s="586"/>
      <c r="AF33" s="586"/>
      <c r="AG33" s="585"/>
      <c r="AH33" s="587"/>
    </row>
    <row r="34" spans="1:34" ht="15.75">
      <c r="A34" s="552"/>
      <c r="B34" s="569" t="s">
        <v>313</v>
      </c>
      <c r="C34" s="588"/>
      <c r="D34" s="589"/>
      <c r="E34" s="589"/>
      <c r="F34" s="589"/>
      <c r="G34" s="589"/>
      <c r="H34" s="590"/>
      <c r="I34" s="590"/>
      <c r="J34" s="590"/>
      <c r="K34" s="590"/>
      <c r="L34" s="591"/>
      <c r="M34" s="591"/>
      <c r="N34" s="591"/>
      <c r="O34" s="591"/>
      <c r="P34" s="591"/>
      <c r="Q34" s="591"/>
      <c r="R34" s="591"/>
      <c r="S34" s="591"/>
      <c r="T34" s="590"/>
      <c r="U34" s="590"/>
      <c r="V34" s="590"/>
      <c r="W34" s="590"/>
      <c r="X34" s="590"/>
      <c r="Y34" s="592"/>
      <c r="Z34" s="593"/>
      <c r="AA34" s="593"/>
      <c r="AB34" s="593"/>
      <c r="AC34" s="593"/>
      <c r="AD34" s="585"/>
      <c r="AE34" s="586"/>
      <c r="AF34" s="586"/>
      <c r="AG34" s="585"/>
      <c r="AH34" s="587"/>
    </row>
    <row r="35" spans="1:34" ht="15.75">
      <c r="A35" s="552">
        <v>2</v>
      </c>
      <c r="B35" s="561" t="s">
        <v>314</v>
      </c>
      <c r="C35" s="588"/>
      <c r="D35" s="589"/>
      <c r="E35" s="589"/>
      <c r="F35" s="589"/>
      <c r="G35" s="589"/>
      <c r="H35" s="594">
        <f aca="true" t="shared" si="7" ref="H35:AC35">H36+H39+H40+H42+H45+H55+H56+H58+H61+H66+H67+H98</f>
        <v>712062.8801</v>
      </c>
      <c r="I35" s="594">
        <f t="shared" si="7"/>
        <v>0</v>
      </c>
      <c r="J35" s="594">
        <f t="shared" si="7"/>
        <v>0</v>
      </c>
      <c r="K35" s="594">
        <f t="shared" si="7"/>
        <v>712062.8801</v>
      </c>
      <c r="L35" s="594">
        <f t="shared" si="7"/>
        <v>374031.776</v>
      </c>
      <c r="M35" s="594">
        <f t="shared" si="7"/>
        <v>0</v>
      </c>
      <c r="N35" s="594">
        <f t="shared" si="7"/>
        <v>0</v>
      </c>
      <c r="O35" s="594">
        <f t="shared" si="7"/>
        <v>374031.776</v>
      </c>
      <c r="P35" s="595">
        <v>376134.20100000006</v>
      </c>
      <c r="Q35" s="595">
        <v>0</v>
      </c>
      <c r="R35" s="595">
        <v>0</v>
      </c>
      <c r="S35" s="595">
        <v>376134.20100000006</v>
      </c>
      <c r="T35" s="595">
        <v>76731.799</v>
      </c>
      <c r="U35" s="595">
        <v>0</v>
      </c>
      <c r="V35" s="595">
        <v>0</v>
      </c>
      <c r="W35" s="595">
        <v>0</v>
      </c>
      <c r="X35" s="595">
        <v>76731.799</v>
      </c>
      <c r="Y35" s="595">
        <f t="shared" si="7"/>
        <v>60725.984000000004</v>
      </c>
      <c r="Z35" s="595">
        <f t="shared" si="7"/>
        <v>0</v>
      </c>
      <c r="AA35" s="595">
        <f t="shared" si="7"/>
        <v>0</v>
      </c>
      <c r="AB35" s="595">
        <f t="shared" si="7"/>
        <v>0</v>
      </c>
      <c r="AC35" s="595">
        <f t="shared" si="7"/>
        <v>60725.984000000004</v>
      </c>
      <c r="AD35" s="596">
        <f>Y35/T35</f>
        <v>0.7914057117310648</v>
      </c>
      <c r="AE35" s="597"/>
      <c r="AF35" s="597"/>
      <c r="AG35" s="596"/>
      <c r="AH35" s="598">
        <f aca="true" t="shared" si="8" ref="AH35:AH54">AC35/X35</f>
        <v>0.7914057117310648</v>
      </c>
    </row>
    <row r="36" spans="1:34" s="603" customFormat="1" ht="15.75">
      <c r="A36" s="565"/>
      <c r="B36" s="569" t="s">
        <v>299</v>
      </c>
      <c r="C36" s="599"/>
      <c r="D36" s="600"/>
      <c r="E36" s="600"/>
      <c r="F36" s="600"/>
      <c r="G36" s="600"/>
      <c r="H36" s="594">
        <f aca="true" t="shared" si="9" ref="H36:AC36">SUM(H37:H38)</f>
        <v>15040</v>
      </c>
      <c r="I36" s="594">
        <f t="shared" si="9"/>
        <v>0</v>
      </c>
      <c r="J36" s="594">
        <f t="shared" si="9"/>
        <v>0</v>
      </c>
      <c r="K36" s="594">
        <f t="shared" si="9"/>
        <v>15040</v>
      </c>
      <c r="L36" s="594">
        <f t="shared" si="9"/>
        <v>10142.377</v>
      </c>
      <c r="M36" s="594">
        <f t="shared" si="9"/>
        <v>0</v>
      </c>
      <c r="N36" s="594">
        <f t="shared" si="9"/>
        <v>0</v>
      </c>
      <c r="O36" s="594">
        <f t="shared" si="9"/>
        <v>10142.377</v>
      </c>
      <c r="P36" s="595">
        <v>11441.583999999999</v>
      </c>
      <c r="Q36" s="595">
        <v>0</v>
      </c>
      <c r="R36" s="595">
        <v>0</v>
      </c>
      <c r="S36" s="595">
        <v>11441.583999999999</v>
      </c>
      <c r="T36" s="595">
        <v>9623.627</v>
      </c>
      <c r="U36" s="595">
        <v>0</v>
      </c>
      <c r="V36" s="595">
        <v>0</v>
      </c>
      <c r="W36" s="595">
        <v>0</v>
      </c>
      <c r="X36" s="595">
        <v>9623.627</v>
      </c>
      <c r="Y36" s="601">
        <f t="shared" si="9"/>
        <v>8280.078</v>
      </c>
      <c r="Z36" s="602">
        <f t="shared" si="9"/>
        <v>0</v>
      </c>
      <c r="AA36" s="602">
        <f t="shared" si="9"/>
        <v>0</v>
      </c>
      <c r="AB36" s="602">
        <f t="shared" si="9"/>
        <v>0</v>
      </c>
      <c r="AC36" s="601">
        <f t="shared" si="9"/>
        <v>8280.078</v>
      </c>
      <c r="AD36" s="585">
        <f aca="true" t="shared" si="10" ref="AD36:AD54">Y36/T36</f>
        <v>0.8603905783131452</v>
      </c>
      <c r="AE36" s="586"/>
      <c r="AF36" s="586"/>
      <c r="AG36" s="585"/>
      <c r="AH36" s="587">
        <f t="shared" si="8"/>
        <v>0.8603905783131452</v>
      </c>
    </row>
    <row r="37" spans="1:34" ht="38.25">
      <c r="A37" s="552"/>
      <c r="B37" s="584" t="s">
        <v>315</v>
      </c>
      <c r="C37" s="554" t="s">
        <v>657</v>
      </c>
      <c r="D37" s="589"/>
      <c r="E37" s="589">
        <v>7561460</v>
      </c>
      <c r="F37" s="554" t="s">
        <v>658</v>
      </c>
      <c r="G37" s="554" t="s">
        <v>659</v>
      </c>
      <c r="H37" s="570">
        <f>SUM(J37:K37)</f>
        <v>10577</v>
      </c>
      <c r="I37" s="570"/>
      <c r="J37" s="570"/>
      <c r="K37" s="570">
        <f>INDEX('[5]BC TT 85'!$A$12:$X$264,MATCH('[5]PL6243'!$B33,'[5]BC TT 85'!$B$12:$B$264,0),5)</f>
        <v>10577</v>
      </c>
      <c r="L37" s="571">
        <f>SUM(M37:O37)</f>
        <v>8560.467</v>
      </c>
      <c r="M37" s="571"/>
      <c r="N37" s="571"/>
      <c r="O37" s="571">
        <f>INDEX('[5]BC TT 85'!$A$12:$X$264,MATCH('[5]PL6243'!$B33,'[5]BC TT 85'!$B$12:$B$264,0),24)</f>
        <v>8560.467</v>
      </c>
      <c r="P37" s="571">
        <v>8731</v>
      </c>
      <c r="Q37" s="571"/>
      <c r="R37" s="571"/>
      <c r="S37" s="571">
        <v>8731</v>
      </c>
      <c r="T37" s="571">
        <v>7077.555</v>
      </c>
      <c r="U37" s="571"/>
      <c r="V37" s="571"/>
      <c r="W37" s="571"/>
      <c r="X37" s="572">
        <v>7077.555</v>
      </c>
      <c r="Y37" s="572">
        <f>SUM(Z37:AC37)</f>
        <v>6907.022</v>
      </c>
      <c r="Z37" s="572"/>
      <c r="AA37" s="572"/>
      <c r="AB37" s="572"/>
      <c r="AC37" s="572">
        <f>+INDEX('[5]BC TT 85'!$A$12:$X$264,MATCH('[5]PL6243'!$B33,'[5]BC TT 85'!$B$12:$B$264,0),22)</f>
        <v>6907.022</v>
      </c>
      <c r="AD37" s="585">
        <f>Y37/T37</f>
        <v>0.975905097169856</v>
      </c>
      <c r="AE37" s="586"/>
      <c r="AF37" s="586"/>
      <c r="AG37" s="585"/>
      <c r="AH37" s="587">
        <f t="shared" si="8"/>
        <v>0.975905097169856</v>
      </c>
    </row>
    <row r="38" spans="1:34" ht="63.75">
      <c r="A38" s="552"/>
      <c r="B38" s="584" t="s">
        <v>316</v>
      </c>
      <c r="C38" s="554" t="s">
        <v>660</v>
      </c>
      <c r="D38" s="589"/>
      <c r="E38" s="589">
        <v>7590549</v>
      </c>
      <c r="F38" s="554" t="s">
        <v>661</v>
      </c>
      <c r="G38" s="554" t="s">
        <v>662</v>
      </c>
      <c r="H38" s="570">
        <f>SUM(J38:K38)</f>
        <v>4463</v>
      </c>
      <c r="I38" s="604"/>
      <c r="J38" s="604"/>
      <c r="K38" s="570">
        <f>INDEX('[5]BC TT 85'!$A$12:$X$264,MATCH('[5]PL6243'!$B34,'[5]BC TT 85'!$B$12:$B$264,0),5)</f>
        <v>4463</v>
      </c>
      <c r="L38" s="571">
        <f>SUM(M38:O38)</f>
        <v>1581.91</v>
      </c>
      <c r="M38" s="571"/>
      <c r="N38" s="571"/>
      <c r="O38" s="571">
        <f>INDEX('[5]BC TT 85'!$A$12:$X$264,MATCH('[5]PL6243'!$B34,'[5]BC TT 85'!$B$12:$B$264,0),24)</f>
        <v>1581.91</v>
      </c>
      <c r="P38" s="571">
        <v>2710.584</v>
      </c>
      <c r="Q38" s="571"/>
      <c r="R38" s="571"/>
      <c r="S38" s="571">
        <v>2710.584</v>
      </c>
      <c r="T38" s="571">
        <v>2546.072</v>
      </c>
      <c r="U38" s="571"/>
      <c r="V38" s="571"/>
      <c r="W38" s="571"/>
      <c r="X38" s="572">
        <v>2546.072</v>
      </c>
      <c r="Y38" s="572">
        <f>SUM(Z38:AC38)</f>
        <v>1373.056</v>
      </c>
      <c r="Z38" s="572"/>
      <c r="AA38" s="572"/>
      <c r="AB38" s="572"/>
      <c r="AC38" s="572">
        <f>+INDEX('[5]BC TT 85'!$A$12:$X$264,MATCH('[5]PL6243'!$B34,'[5]BC TT 85'!$B$12:$B$264,0),22)</f>
        <v>1373.056</v>
      </c>
      <c r="AD38" s="585">
        <f t="shared" si="10"/>
        <v>0.5392840422423246</v>
      </c>
      <c r="AE38" s="586"/>
      <c r="AF38" s="586"/>
      <c r="AG38" s="585"/>
      <c r="AH38" s="587">
        <f t="shared" si="8"/>
        <v>0.5392840422423246</v>
      </c>
    </row>
    <row r="39" spans="1:34" ht="15.75">
      <c r="A39" s="552"/>
      <c r="B39" s="569" t="s">
        <v>300</v>
      </c>
      <c r="C39" s="588"/>
      <c r="D39" s="589"/>
      <c r="E39" s="589"/>
      <c r="F39" s="589"/>
      <c r="G39" s="589"/>
      <c r="H39" s="590"/>
      <c r="I39" s="590"/>
      <c r="J39" s="590"/>
      <c r="K39" s="590"/>
      <c r="L39" s="591"/>
      <c r="M39" s="591"/>
      <c r="N39" s="591"/>
      <c r="O39" s="591"/>
      <c r="P39" s="591"/>
      <c r="Q39" s="591"/>
      <c r="R39" s="591"/>
      <c r="S39" s="591"/>
      <c r="T39" s="590"/>
      <c r="U39" s="590"/>
      <c r="V39" s="590"/>
      <c r="W39" s="590"/>
      <c r="X39" s="590"/>
      <c r="Y39" s="592"/>
      <c r="Z39" s="605"/>
      <c r="AA39" s="605"/>
      <c r="AB39" s="605"/>
      <c r="AC39" s="605"/>
      <c r="AD39" s="585"/>
      <c r="AE39" s="586"/>
      <c r="AF39" s="586"/>
      <c r="AG39" s="585"/>
      <c r="AH39" s="587"/>
    </row>
    <row r="40" spans="1:34" ht="15.75">
      <c r="A40" s="552"/>
      <c r="B40" s="569" t="s">
        <v>301</v>
      </c>
      <c r="C40" s="588"/>
      <c r="D40" s="589"/>
      <c r="E40" s="589"/>
      <c r="F40" s="589"/>
      <c r="G40" s="589"/>
      <c r="H40" s="594">
        <f aca="true" t="shared" si="11" ref="H40:AC40">SUM(H41:H41)</f>
        <v>8815.138</v>
      </c>
      <c r="I40" s="594">
        <f t="shared" si="11"/>
        <v>0</v>
      </c>
      <c r="J40" s="594">
        <f t="shared" si="11"/>
        <v>0</v>
      </c>
      <c r="K40" s="594">
        <f t="shared" si="11"/>
        <v>8815.138</v>
      </c>
      <c r="L40" s="594">
        <f t="shared" si="11"/>
        <v>8081.836</v>
      </c>
      <c r="M40" s="594">
        <f t="shared" si="11"/>
        <v>0</v>
      </c>
      <c r="N40" s="594">
        <f t="shared" si="11"/>
        <v>0</v>
      </c>
      <c r="O40" s="594">
        <f t="shared" si="11"/>
        <v>8081.836</v>
      </c>
      <c r="P40" s="595">
        <v>8165.475</v>
      </c>
      <c r="Q40" s="595">
        <v>0</v>
      </c>
      <c r="R40" s="595">
        <v>0</v>
      </c>
      <c r="S40" s="595">
        <v>8165.475</v>
      </c>
      <c r="T40" s="595">
        <v>1123.972</v>
      </c>
      <c r="U40" s="595">
        <v>0</v>
      </c>
      <c r="V40" s="595">
        <v>0</v>
      </c>
      <c r="W40" s="595">
        <v>0</v>
      </c>
      <c r="X40" s="595">
        <v>1123.972</v>
      </c>
      <c r="Y40" s="601">
        <f t="shared" si="11"/>
        <v>1040.333</v>
      </c>
      <c r="Z40" s="606">
        <f t="shared" si="11"/>
        <v>0</v>
      </c>
      <c r="AA40" s="606">
        <f t="shared" si="11"/>
        <v>0</v>
      </c>
      <c r="AB40" s="606">
        <f t="shared" si="11"/>
        <v>0</v>
      </c>
      <c r="AC40" s="601">
        <f t="shared" si="11"/>
        <v>1040.333</v>
      </c>
      <c r="AD40" s="547">
        <f t="shared" si="10"/>
        <v>0.9255862245678719</v>
      </c>
      <c r="AE40" s="559"/>
      <c r="AF40" s="559"/>
      <c r="AG40" s="547"/>
      <c r="AH40" s="550">
        <f t="shared" si="8"/>
        <v>0.9255862245678719</v>
      </c>
    </row>
    <row r="41" spans="1:34" ht="38.25">
      <c r="A41" s="552"/>
      <c r="B41" s="584" t="s">
        <v>319</v>
      </c>
      <c r="C41" s="554" t="s">
        <v>663</v>
      </c>
      <c r="D41" s="589"/>
      <c r="E41" s="589">
        <v>7613377</v>
      </c>
      <c r="F41" s="554" t="s">
        <v>661</v>
      </c>
      <c r="G41" s="554" t="s">
        <v>664</v>
      </c>
      <c r="H41" s="570">
        <f>SUM(J41:K41)</f>
        <v>8815.138</v>
      </c>
      <c r="I41" s="604"/>
      <c r="J41" s="604"/>
      <c r="K41" s="570">
        <f>INDEX('[5]BC TT 85'!$A$12:$X$264,MATCH('[5]PL6243'!$B37,'[5]BC TT 85'!$B$12:$B$264,0),5)</f>
        <v>8815.138</v>
      </c>
      <c r="L41" s="571">
        <f>SUM(M41:O41)</f>
        <v>8081.836</v>
      </c>
      <c r="M41" s="571"/>
      <c r="N41" s="571"/>
      <c r="O41" s="571">
        <f>INDEX('[5]BC TT 85'!$A$12:$X$264,MATCH('[5]PL6243'!$B37,'[5]BC TT 85'!$B$12:$B$264,0),24)</f>
        <v>8081.836</v>
      </c>
      <c r="P41" s="571">
        <v>8165.475</v>
      </c>
      <c r="Q41" s="571"/>
      <c r="R41" s="571"/>
      <c r="S41" s="571">
        <v>8165.475</v>
      </c>
      <c r="T41" s="571">
        <v>1123.972</v>
      </c>
      <c r="U41" s="571"/>
      <c r="V41" s="571"/>
      <c r="W41" s="571"/>
      <c r="X41" s="572">
        <v>1123.972</v>
      </c>
      <c r="Y41" s="572">
        <f>SUM(Z41:AC41)</f>
        <v>1040.333</v>
      </c>
      <c r="Z41" s="572"/>
      <c r="AA41" s="572"/>
      <c r="AB41" s="572"/>
      <c r="AC41" s="572">
        <f>+INDEX('[5]BC TT 85'!$A$12:$X$264,MATCH('[5]PL6243'!$B37,'[5]BC TT 85'!$B$12:$B$264,0),22)</f>
        <v>1040.333</v>
      </c>
      <c r="AD41" s="585">
        <f t="shared" si="10"/>
        <v>0.9255862245678719</v>
      </c>
      <c r="AE41" s="586"/>
      <c r="AF41" s="586"/>
      <c r="AG41" s="585"/>
      <c r="AH41" s="587">
        <f t="shared" si="8"/>
        <v>0.9255862245678719</v>
      </c>
    </row>
    <row r="42" spans="1:34" ht="15.75">
      <c r="A42" s="552"/>
      <c r="B42" s="582" t="s">
        <v>302</v>
      </c>
      <c r="C42" s="588"/>
      <c r="D42" s="589"/>
      <c r="E42" s="589"/>
      <c r="F42" s="589"/>
      <c r="G42" s="589"/>
      <c r="H42" s="594">
        <f aca="true" t="shared" si="12" ref="H42:AC42">SUM(H43:H44)</f>
        <v>38815.979</v>
      </c>
      <c r="I42" s="594">
        <f t="shared" si="12"/>
        <v>0</v>
      </c>
      <c r="J42" s="594">
        <f t="shared" si="12"/>
        <v>0</v>
      </c>
      <c r="K42" s="594">
        <f t="shared" si="12"/>
        <v>38815.979</v>
      </c>
      <c r="L42" s="594">
        <f t="shared" si="12"/>
        <v>10831.789999999999</v>
      </c>
      <c r="M42" s="594">
        <f t="shared" si="12"/>
        <v>0</v>
      </c>
      <c r="N42" s="594">
        <f t="shared" si="12"/>
        <v>0</v>
      </c>
      <c r="O42" s="594">
        <f t="shared" si="12"/>
        <v>10831.789999999999</v>
      </c>
      <c r="P42" s="595">
        <v>7048.75</v>
      </c>
      <c r="Q42" s="595">
        <v>0</v>
      </c>
      <c r="R42" s="595">
        <v>0</v>
      </c>
      <c r="S42" s="595">
        <v>7048.75</v>
      </c>
      <c r="T42" s="595">
        <v>5364.9619999999995</v>
      </c>
      <c r="U42" s="595">
        <v>0</v>
      </c>
      <c r="V42" s="595">
        <v>0</v>
      </c>
      <c r="W42" s="595">
        <v>0</v>
      </c>
      <c r="X42" s="595">
        <v>5364.9619999999995</v>
      </c>
      <c r="Y42" s="601">
        <f t="shared" si="12"/>
        <v>3139.718</v>
      </c>
      <c r="Z42" s="606">
        <f t="shared" si="12"/>
        <v>0</v>
      </c>
      <c r="AA42" s="606">
        <f t="shared" si="12"/>
        <v>0</v>
      </c>
      <c r="AB42" s="606">
        <f t="shared" si="12"/>
        <v>0</v>
      </c>
      <c r="AC42" s="602">
        <f t="shared" si="12"/>
        <v>3139.718</v>
      </c>
      <c r="AD42" s="547">
        <f t="shared" si="10"/>
        <v>0.5852265123219885</v>
      </c>
      <c r="AE42" s="559"/>
      <c r="AF42" s="559"/>
      <c r="AG42" s="547"/>
      <c r="AH42" s="550">
        <f t="shared" si="8"/>
        <v>0.5852265123219885</v>
      </c>
    </row>
    <row r="43" spans="1:34" s="642" customFormat="1" ht="54">
      <c r="A43" s="637"/>
      <c r="B43" s="622" t="s">
        <v>323</v>
      </c>
      <c r="C43" s="638" t="s">
        <v>665</v>
      </c>
      <c r="D43" s="639"/>
      <c r="E43" s="639">
        <v>7563027</v>
      </c>
      <c r="F43" s="638" t="s">
        <v>661</v>
      </c>
      <c r="G43" s="638" t="s">
        <v>666</v>
      </c>
      <c r="H43" s="641">
        <f>SUM(J43:K43)</f>
        <v>30021.238</v>
      </c>
      <c r="I43" s="662"/>
      <c r="J43" s="662"/>
      <c r="K43" s="641">
        <f>INDEX('[5]BC TT 85'!$A$12:$X$264,MATCH('[5]PL6243'!$B39,'[5]BC TT 85'!$B$12:$B$264,0),5)</f>
        <v>30021.238</v>
      </c>
      <c r="L43" s="640">
        <f>SUM(M43:O43)</f>
        <v>3812.284</v>
      </c>
      <c r="M43" s="640"/>
      <c r="N43" s="640"/>
      <c r="O43" s="640">
        <v>3812.284</v>
      </c>
      <c r="P43" s="640">
        <v>0</v>
      </c>
      <c r="Q43" s="640"/>
      <c r="R43" s="640"/>
      <c r="S43" s="640"/>
      <c r="T43" s="640">
        <v>2196</v>
      </c>
      <c r="U43" s="640"/>
      <c r="V43" s="640"/>
      <c r="W43" s="640"/>
      <c r="X43" s="640">
        <v>2196</v>
      </c>
      <c r="Y43" s="640">
        <f>SUM(Z43:AC43)</f>
        <v>0</v>
      </c>
      <c r="Z43" s="640"/>
      <c r="AA43" s="640"/>
      <c r="AB43" s="640"/>
      <c r="AC43" s="640">
        <f>+INDEX('[5]BC TT 85'!$A$12:$X$264,MATCH('[5]PL6243'!$B39,'[5]BC TT 85'!$B$12:$B$264,0),22)</f>
        <v>0</v>
      </c>
      <c r="AD43" s="663">
        <f t="shared" si="10"/>
        <v>0</v>
      </c>
      <c r="AE43" s="664"/>
      <c r="AF43" s="664"/>
      <c r="AG43" s="663"/>
      <c r="AH43" s="665">
        <f t="shared" si="8"/>
        <v>0</v>
      </c>
    </row>
    <row r="44" spans="1:34" ht="38.25">
      <c r="A44" s="552"/>
      <c r="B44" s="584" t="s">
        <v>324</v>
      </c>
      <c r="C44" s="554" t="s">
        <v>667</v>
      </c>
      <c r="D44" s="589"/>
      <c r="E44" s="589">
        <v>7583497</v>
      </c>
      <c r="F44" s="554" t="s">
        <v>661</v>
      </c>
      <c r="G44" s="554" t="s">
        <v>668</v>
      </c>
      <c r="H44" s="570">
        <f>SUM(J44:K44)</f>
        <v>8794.741</v>
      </c>
      <c r="I44" s="604"/>
      <c r="J44" s="604"/>
      <c r="K44" s="570">
        <f>INDEX('[5]BC TT 85'!$A$12:$X$264,MATCH('[5]PL6243'!$B40,'[5]BC TT 85'!$B$12:$B$264,0),5)</f>
        <v>8794.741</v>
      </c>
      <c r="L44" s="571">
        <f>SUM(M44:O44)</f>
        <v>7019.505999999999</v>
      </c>
      <c r="M44" s="571"/>
      <c r="N44" s="571"/>
      <c r="O44" s="571">
        <f>INDEX('[5]BC TT 85'!$A$12:$X$264,MATCH('[5]PL6243'!$B40,'[5]BC TT 85'!$B$12:$B$264,0),24)</f>
        <v>7019.505999999999</v>
      </c>
      <c r="P44" s="571">
        <v>7048.75</v>
      </c>
      <c r="Q44" s="571"/>
      <c r="R44" s="571"/>
      <c r="S44" s="571">
        <v>7048.75</v>
      </c>
      <c r="T44" s="571">
        <v>3168.962</v>
      </c>
      <c r="U44" s="571"/>
      <c r="V44" s="571"/>
      <c r="W44" s="571"/>
      <c r="X44" s="572">
        <v>3168.962</v>
      </c>
      <c r="Y44" s="572">
        <f>SUM(Z44:AC44)</f>
        <v>3139.718</v>
      </c>
      <c r="Z44" s="572"/>
      <c r="AA44" s="572"/>
      <c r="AB44" s="572"/>
      <c r="AC44" s="572">
        <f>+INDEX('[5]BC TT 85'!$A$12:$X$264,MATCH('[5]PL6243'!$B40,'[5]BC TT 85'!$B$12:$B$264,0),22)</f>
        <v>3139.718</v>
      </c>
      <c r="AD44" s="585">
        <f t="shared" si="10"/>
        <v>0.9907717416617807</v>
      </c>
      <c r="AE44" s="586"/>
      <c r="AF44" s="586"/>
      <c r="AG44" s="585"/>
      <c r="AH44" s="587">
        <f t="shared" si="8"/>
        <v>0.9907717416617807</v>
      </c>
    </row>
    <row r="45" spans="1:34" ht="15.75">
      <c r="A45" s="552"/>
      <c r="B45" s="569" t="s">
        <v>303</v>
      </c>
      <c r="C45" s="588"/>
      <c r="D45" s="589"/>
      <c r="E45" s="589"/>
      <c r="F45" s="589"/>
      <c r="G45" s="589"/>
      <c r="H45" s="601">
        <f aca="true" t="shared" si="13" ref="H45:O45">SUM(H46:H54)</f>
        <v>246689.752</v>
      </c>
      <c r="I45" s="601">
        <f t="shared" si="13"/>
        <v>0</v>
      </c>
      <c r="J45" s="601">
        <f t="shared" si="13"/>
        <v>0</v>
      </c>
      <c r="K45" s="601">
        <f t="shared" si="13"/>
        <v>246689.752</v>
      </c>
      <c r="L45" s="601">
        <f t="shared" si="13"/>
        <v>59816.768000000004</v>
      </c>
      <c r="M45" s="601">
        <f t="shared" si="13"/>
        <v>0</v>
      </c>
      <c r="N45" s="601">
        <f t="shared" si="13"/>
        <v>0</v>
      </c>
      <c r="O45" s="601">
        <f t="shared" si="13"/>
        <v>59816.768000000004</v>
      </c>
      <c r="P45" s="601">
        <v>63896.551</v>
      </c>
      <c r="Q45" s="601">
        <v>0</v>
      </c>
      <c r="R45" s="601">
        <v>0</v>
      </c>
      <c r="S45" s="601">
        <v>63896.551</v>
      </c>
      <c r="T45" s="601">
        <v>54877.403</v>
      </c>
      <c r="U45" s="601">
        <v>0</v>
      </c>
      <c r="V45" s="601">
        <v>0</v>
      </c>
      <c r="W45" s="601">
        <v>0</v>
      </c>
      <c r="X45" s="601">
        <v>54877.403</v>
      </c>
      <c r="Y45" s="601">
        <f>SUM(Y46:Y54)</f>
        <v>43028.277</v>
      </c>
      <c r="Z45" s="601">
        <f>SUM(Z46:Z54)</f>
        <v>0</v>
      </c>
      <c r="AA45" s="601">
        <f>SUM(AA46:AA54)</f>
        <v>0</v>
      </c>
      <c r="AB45" s="601">
        <f>SUM(AB46:AB54)</f>
        <v>0</v>
      </c>
      <c r="AC45" s="601">
        <f>SUM(AC46:AC54)</f>
        <v>43028.277</v>
      </c>
      <c r="AD45" s="547">
        <f t="shared" si="10"/>
        <v>0.7840800520389057</v>
      </c>
      <c r="AE45" s="559"/>
      <c r="AF45" s="559"/>
      <c r="AG45" s="547"/>
      <c r="AH45" s="550">
        <f t="shared" si="8"/>
        <v>0.7840800520389057</v>
      </c>
    </row>
    <row r="46" spans="1:34" ht="38.25">
      <c r="A46" s="552"/>
      <c r="B46" s="584" t="s">
        <v>331</v>
      </c>
      <c r="C46" s="588" t="s">
        <v>657</v>
      </c>
      <c r="D46" s="589"/>
      <c r="E46" s="589">
        <v>7540469</v>
      </c>
      <c r="F46" s="588" t="s">
        <v>669</v>
      </c>
      <c r="G46" s="554" t="s">
        <v>670</v>
      </c>
      <c r="H46" s="570">
        <f aca="true" t="shared" si="14" ref="H46:H54">SUM(J46:K46)</f>
        <v>2905.786</v>
      </c>
      <c r="I46" s="604"/>
      <c r="J46" s="604"/>
      <c r="K46" s="570">
        <f>INDEX('[5]BC TT 85'!$A$12:$X$264,MATCH('[5]PL6243'!$B42,'[5]BC TT 85'!$B$12:$B$264,0),5)</f>
        <v>2905.786</v>
      </c>
      <c r="L46" s="571">
        <f aca="true" t="shared" si="15" ref="L46:L54">SUM(M46:O46)</f>
        <v>2290.534</v>
      </c>
      <c r="M46" s="571"/>
      <c r="N46" s="571"/>
      <c r="O46" s="571">
        <f>INDEX('[5]BC TT 85'!$A$12:$X$264,MATCH('[5]PL6243'!$B42,'[5]BC TT 85'!$B$12:$B$264,0),24)</f>
        <v>2290.534</v>
      </c>
      <c r="P46" s="571">
        <v>2290.534</v>
      </c>
      <c r="Q46" s="571"/>
      <c r="R46" s="571"/>
      <c r="S46" s="571">
        <v>2290.534</v>
      </c>
      <c r="T46" s="571">
        <v>34.981</v>
      </c>
      <c r="U46" s="571"/>
      <c r="V46" s="571"/>
      <c r="W46" s="571"/>
      <c r="X46" s="572">
        <v>34.981</v>
      </c>
      <c r="Y46" s="572">
        <f aca="true" t="shared" si="16" ref="Y46:Y54">SUM(Z46:AC46)</f>
        <v>34.981</v>
      </c>
      <c r="Z46" s="572"/>
      <c r="AA46" s="572"/>
      <c r="AB46" s="572"/>
      <c r="AC46" s="572">
        <f>+INDEX('[5]BC TT 85'!$A$12:$X$264,MATCH('[5]PL6243'!$B42,'[5]BC TT 85'!$B$12:$B$264,0),22)</f>
        <v>34.981</v>
      </c>
      <c r="AD46" s="585">
        <f t="shared" si="10"/>
        <v>1</v>
      </c>
      <c r="AE46" s="580"/>
      <c r="AF46" s="580"/>
      <c r="AG46" s="607"/>
      <c r="AH46" s="608"/>
    </row>
    <row r="47" spans="1:34" ht="38.25">
      <c r="A47" s="552"/>
      <c r="B47" s="584" t="s">
        <v>304</v>
      </c>
      <c r="C47" s="554" t="s">
        <v>671</v>
      </c>
      <c r="D47" s="554"/>
      <c r="E47" s="554">
        <v>7613511</v>
      </c>
      <c r="F47" s="554" t="s">
        <v>672</v>
      </c>
      <c r="G47" s="554" t="s">
        <v>673</v>
      </c>
      <c r="H47" s="570">
        <f t="shared" si="14"/>
        <v>3945</v>
      </c>
      <c r="I47" s="604"/>
      <c r="J47" s="604"/>
      <c r="K47" s="570">
        <f>INDEX('[5]BC TT 85'!$A$12:$X$264,MATCH('[5]PL6243'!$B43,'[5]BC TT 85'!$B$12:$B$264,0),5)</f>
        <v>3945</v>
      </c>
      <c r="L47" s="571">
        <f t="shared" si="15"/>
        <v>1895.828</v>
      </c>
      <c r="M47" s="571"/>
      <c r="N47" s="571"/>
      <c r="O47" s="571">
        <f>INDEX('[5]BC TT 85'!$A$12:$X$264,MATCH('[5]PL6243'!$B43,'[5]BC TT 85'!$B$12:$B$264,0),24)</f>
        <v>1895.828</v>
      </c>
      <c r="P47" s="571">
        <v>2190.357</v>
      </c>
      <c r="Q47" s="571"/>
      <c r="R47" s="571"/>
      <c r="S47" s="571">
        <v>2190.357</v>
      </c>
      <c r="T47" s="604">
        <v>1800</v>
      </c>
      <c r="U47" s="604"/>
      <c r="V47" s="604"/>
      <c r="W47" s="604"/>
      <c r="X47" s="572">
        <v>1800</v>
      </c>
      <c r="Y47" s="572">
        <f t="shared" si="16"/>
        <v>656.348</v>
      </c>
      <c r="Z47" s="572"/>
      <c r="AA47" s="572"/>
      <c r="AB47" s="572"/>
      <c r="AC47" s="572">
        <f>+INDEX('[5]BC TT 85'!$A$12:$X$264,MATCH('[5]PL6243'!$B43,'[5]BC TT 85'!$B$12:$B$264,0),22)</f>
        <v>656.348</v>
      </c>
      <c r="AD47" s="585">
        <f t="shared" si="10"/>
        <v>0.3646377777777777</v>
      </c>
      <c r="AE47" s="586"/>
      <c r="AF47" s="586"/>
      <c r="AG47" s="585"/>
      <c r="AH47" s="587">
        <f t="shared" si="8"/>
        <v>0.3646377777777777</v>
      </c>
    </row>
    <row r="48" spans="1:34" ht="40.5">
      <c r="A48" s="552"/>
      <c r="B48" s="584" t="s">
        <v>307</v>
      </c>
      <c r="C48" s="554" t="s">
        <v>671</v>
      </c>
      <c r="D48" s="554"/>
      <c r="E48" s="554">
        <v>7613510</v>
      </c>
      <c r="F48" s="554" t="s">
        <v>672</v>
      </c>
      <c r="G48" s="554" t="s">
        <v>674</v>
      </c>
      <c r="H48" s="570">
        <f t="shared" si="14"/>
        <v>1983</v>
      </c>
      <c r="I48" s="604"/>
      <c r="J48" s="604"/>
      <c r="K48" s="570">
        <f>INDEX('[5]BC TT 85'!$A$12:$X$264,MATCH('[5]PL6243'!$B44,'[5]BC TT 85'!$B$12:$B$264,0),5)</f>
        <v>1983</v>
      </c>
      <c r="L48" s="571">
        <f t="shared" si="15"/>
        <v>1741.782</v>
      </c>
      <c r="M48" s="571"/>
      <c r="N48" s="571"/>
      <c r="O48" s="571">
        <f>INDEX('[5]BC TT 85'!$A$12:$X$264,MATCH('[5]PL6243'!$B44,'[5]BC TT 85'!$B$12:$B$264,0),24)</f>
        <v>1741.782</v>
      </c>
      <c r="P48" s="571">
        <v>1786.789</v>
      </c>
      <c r="Q48" s="571"/>
      <c r="R48" s="571"/>
      <c r="S48" s="571">
        <v>1786.789</v>
      </c>
      <c r="T48" s="604">
        <v>1153</v>
      </c>
      <c r="U48" s="604"/>
      <c r="V48" s="604"/>
      <c r="W48" s="604"/>
      <c r="X48" s="572">
        <v>1153</v>
      </c>
      <c r="Y48" s="572">
        <f t="shared" si="16"/>
        <v>1107.993</v>
      </c>
      <c r="Z48" s="572"/>
      <c r="AA48" s="572"/>
      <c r="AB48" s="572"/>
      <c r="AC48" s="572">
        <f>+INDEX('[5]BC TT 85'!$A$12:$X$264,MATCH('[5]PL6243'!$B44,'[5]BC TT 85'!$B$12:$B$264,0),22)</f>
        <v>1107.993</v>
      </c>
      <c r="AD48" s="585">
        <f t="shared" si="10"/>
        <v>0.9609653078924544</v>
      </c>
      <c r="AE48" s="586"/>
      <c r="AF48" s="586"/>
      <c r="AG48" s="585"/>
      <c r="AH48" s="587">
        <f t="shared" si="8"/>
        <v>0.9609653078924544</v>
      </c>
    </row>
    <row r="49" spans="1:34" ht="38.25">
      <c r="A49" s="552"/>
      <c r="B49" s="584" t="s">
        <v>333</v>
      </c>
      <c r="C49" s="554" t="s">
        <v>663</v>
      </c>
      <c r="D49" s="589"/>
      <c r="E49" s="589">
        <v>7545080</v>
      </c>
      <c r="F49" s="554" t="s">
        <v>675</v>
      </c>
      <c r="G49" s="554" t="s">
        <v>676</v>
      </c>
      <c r="H49" s="570">
        <f t="shared" si="14"/>
        <v>7445.411</v>
      </c>
      <c r="I49" s="604"/>
      <c r="J49" s="604"/>
      <c r="K49" s="570">
        <f>INDEX('[5]BC TT 85'!$A$12:$X$264,MATCH('[5]PL6243'!$B45,'[5]BC TT 85'!$B$12:$B$264,0),5)</f>
        <v>7445.411</v>
      </c>
      <c r="L49" s="571">
        <f t="shared" si="15"/>
        <v>832.508</v>
      </c>
      <c r="M49" s="571"/>
      <c r="N49" s="571"/>
      <c r="O49" s="571">
        <f>INDEX('[5]BC TT 85'!$A$12:$X$264,MATCH('[5]PL6243'!$B45,'[5]BC TT 85'!$B$12:$B$264,0),24)</f>
        <v>832.508</v>
      </c>
      <c r="P49" s="571">
        <v>838</v>
      </c>
      <c r="Q49" s="571"/>
      <c r="R49" s="571"/>
      <c r="S49" s="571">
        <v>838</v>
      </c>
      <c r="T49" s="604">
        <v>538</v>
      </c>
      <c r="U49" s="604"/>
      <c r="V49" s="604"/>
      <c r="W49" s="604"/>
      <c r="X49" s="572">
        <v>538</v>
      </c>
      <c r="Y49" s="572">
        <f t="shared" si="16"/>
        <v>532.508</v>
      </c>
      <c r="Z49" s="572"/>
      <c r="AA49" s="572"/>
      <c r="AB49" s="572"/>
      <c r="AC49" s="572">
        <f>+INDEX('[5]BC TT 85'!$A$12:$X$264,MATCH('[5]PL6243'!$B45,'[5]BC TT 85'!$B$12:$B$264,0),22)</f>
        <v>532.508</v>
      </c>
      <c r="AD49" s="607">
        <f t="shared" si="10"/>
        <v>0.9897918215613384</v>
      </c>
      <c r="AE49" s="580"/>
      <c r="AF49" s="580"/>
      <c r="AG49" s="607"/>
      <c r="AH49" s="608">
        <f t="shared" si="8"/>
        <v>0.9897918215613384</v>
      </c>
    </row>
    <row r="50" spans="1:34" ht="89.25">
      <c r="A50" s="552"/>
      <c r="B50" s="584" t="s">
        <v>337</v>
      </c>
      <c r="C50" s="554" t="s">
        <v>690</v>
      </c>
      <c r="D50" s="589"/>
      <c r="E50" s="589">
        <v>7562657</v>
      </c>
      <c r="F50" s="554" t="s">
        <v>661</v>
      </c>
      <c r="G50" s="554" t="s">
        <v>777</v>
      </c>
      <c r="H50" s="570">
        <f t="shared" si="14"/>
        <v>45252.975</v>
      </c>
      <c r="I50" s="604"/>
      <c r="J50" s="604"/>
      <c r="K50" s="570">
        <f>INDEX('[5]BC TT 85'!$A$12:$X$264,MATCH('[5]PL6243'!$B46,'[5]BC TT 85'!$B$12:$B$264,0),5)</f>
        <v>45252.975</v>
      </c>
      <c r="L50" s="571">
        <f t="shared" si="15"/>
        <v>33987.363</v>
      </c>
      <c r="M50" s="571"/>
      <c r="N50" s="571"/>
      <c r="O50" s="571">
        <f>INDEX('[5]BC TT 85'!$A$12:$X$264,MATCH('[5]PL6243'!$B46,'[5]BC TT 85'!$B$12:$B$264,0),24)</f>
        <v>33987.363</v>
      </c>
      <c r="P50" s="571">
        <v>34000</v>
      </c>
      <c r="Q50" s="571"/>
      <c r="R50" s="571"/>
      <c r="S50" s="571">
        <v>34000</v>
      </c>
      <c r="T50" s="571">
        <v>30490.362</v>
      </c>
      <c r="U50" s="571"/>
      <c r="V50" s="571"/>
      <c r="W50" s="571"/>
      <c r="X50" s="572">
        <v>30490.362</v>
      </c>
      <c r="Y50" s="572">
        <f t="shared" si="16"/>
        <v>28883.476000000002</v>
      </c>
      <c r="Z50" s="572"/>
      <c r="AA50" s="572"/>
      <c r="AB50" s="572"/>
      <c r="AC50" s="572">
        <f>+INDEX('[5]BC TT 85'!$A$12:$X$264,MATCH('[5]PL6243'!$B46,'[5]BC TT 85'!$B$12:$B$264,0),22)</f>
        <v>28883.476000000002</v>
      </c>
      <c r="AD50" s="585">
        <f t="shared" si="10"/>
        <v>0.9472985594595433</v>
      </c>
      <c r="AE50" s="586"/>
      <c r="AF50" s="586"/>
      <c r="AG50" s="585"/>
      <c r="AH50" s="587">
        <f t="shared" si="8"/>
        <v>0.9472985594595433</v>
      </c>
    </row>
    <row r="51" spans="1:34" ht="38.25">
      <c r="A51" s="552"/>
      <c r="B51" s="584" t="s">
        <v>345</v>
      </c>
      <c r="C51" s="554" t="s">
        <v>690</v>
      </c>
      <c r="D51" s="609"/>
      <c r="E51" s="609">
        <v>7600800</v>
      </c>
      <c r="F51" s="554" t="s">
        <v>669</v>
      </c>
      <c r="G51" s="554" t="s">
        <v>778</v>
      </c>
      <c r="H51" s="570">
        <f t="shared" si="14"/>
        <v>2995</v>
      </c>
      <c r="I51" s="604"/>
      <c r="J51" s="604"/>
      <c r="K51" s="570">
        <f>INDEX('[5]BC TT 85'!$A$12:$X$264,MATCH('[5]PL6243'!$B47,'[5]BC TT 85'!$B$12:$B$264,0),5)</f>
        <v>2995</v>
      </c>
      <c r="L51" s="571">
        <f t="shared" si="15"/>
        <v>3422.5299999999997</v>
      </c>
      <c r="M51" s="571"/>
      <c r="N51" s="571"/>
      <c r="O51" s="571">
        <f>INDEX('[5]BC TT 85'!$A$12:$X$264,MATCH('[5]PL6243'!$B47,'[5]BC TT 85'!$B$12:$B$264,0),24)</f>
        <v>3422.5299999999997</v>
      </c>
      <c r="P51" s="571">
        <v>3452.535</v>
      </c>
      <c r="Q51" s="571"/>
      <c r="R51" s="571"/>
      <c r="S51" s="571">
        <v>3452.535</v>
      </c>
      <c r="T51" s="571">
        <v>1920.06</v>
      </c>
      <c r="U51" s="571"/>
      <c r="V51" s="571"/>
      <c r="W51" s="571"/>
      <c r="X51" s="572">
        <v>1920.06</v>
      </c>
      <c r="Y51" s="572">
        <f t="shared" si="16"/>
        <v>1890.0549999999998</v>
      </c>
      <c r="Z51" s="572"/>
      <c r="AA51" s="572"/>
      <c r="AB51" s="572"/>
      <c r="AC51" s="572">
        <f>+INDEX('[5]BC TT 85'!$A$12:$X$264,MATCH('[5]PL6243'!$B47,'[5]BC TT 85'!$B$12:$B$264,0),22)</f>
        <v>1890.0549999999998</v>
      </c>
      <c r="AD51" s="585">
        <f t="shared" si="10"/>
        <v>0.9843728841807027</v>
      </c>
      <c r="AE51" s="586"/>
      <c r="AF51" s="586"/>
      <c r="AG51" s="585"/>
      <c r="AH51" s="587">
        <f t="shared" si="8"/>
        <v>0.9843728841807027</v>
      </c>
    </row>
    <row r="52" spans="1:34" ht="38.25">
      <c r="A52" s="552"/>
      <c r="B52" s="584" t="s">
        <v>677</v>
      </c>
      <c r="C52" s="554" t="s">
        <v>678</v>
      </c>
      <c r="D52" s="609"/>
      <c r="E52" s="609">
        <v>7487376</v>
      </c>
      <c r="F52" s="554" t="s">
        <v>679</v>
      </c>
      <c r="G52" s="554" t="s">
        <v>680</v>
      </c>
      <c r="H52" s="570">
        <f t="shared" si="14"/>
        <v>81029.58</v>
      </c>
      <c r="I52" s="604"/>
      <c r="J52" s="604"/>
      <c r="K52" s="570">
        <f>INDEX('[5]BC TT 85'!$A$12:$X$264,MATCH('[5]PL6243'!$B48,'[5]BC TT 85'!$B$12:$B$264,0),5)</f>
        <v>81029.58</v>
      </c>
      <c r="L52" s="571">
        <f t="shared" si="15"/>
        <v>7053.887</v>
      </c>
      <c r="M52" s="571"/>
      <c r="N52" s="571"/>
      <c r="O52" s="571">
        <f>INDEX('[5]BC TT 85'!$A$12:$X$264,MATCH('[5]PL6243'!$B48,'[5]BC TT 85'!$B$12:$B$264,0),24)</f>
        <v>7053.887</v>
      </c>
      <c r="P52" s="571">
        <v>10746</v>
      </c>
      <c r="Q52" s="571"/>
      <c r="R52" s="571"/>
      <c r="S52" s="571">
        <v>10746</v>
      </c>
      <c r="T52" s="570">
        <v>10746</v>
      </c>
      <c r="U52" s="570"/>
      <c r="V52" s="570"/>
      <c r="W52" s="570"/>
      <c r="X52" s="572">
        <v>10746</v>
      </c>
      <c r="Y52" s="572">
        <f t="shared" si="16"/>
        <v>2377.611</v>
      </c>
      <c r="Z52" s="572"/>
      <c r="AA52" s="572"/>
      <c r="AB52" s="572"/>
      <c r="AC52" s="572">
        <f>+INDEX('[5]BC TT 85'!$A$12:$X$264,MATCH('[5]PL6243'!$B48,'[5]BC TT 85'!$B$12:$B$264,0),22)</f>
        <v>2377.611</v>
      </c>
      <c r="AD52" s="585">
        <f t="shared" si="10"/>
        <v>0.22125544388609714</v>
      </c>
      <c r="AE52" s="586"/>
      <c r="AF52" s="586"/>
      <c r="AG52" s="585"/>
      <c r="AH52" s="587">
        <f t="shared" si="8"/>
        <v>0.22125544388609714</v>
      </c>
    </row>
    <row r="53" spans="1:34" ht="76.5">
      <c r="A53" s="552"/>
      <c r="B53" s="584" t="s">
        <v>681</v>
      </c>
      <c r="C53" s="554" t="s">
        <v>682</v>
      </c>
      <c r="D53" s="609"/>
      <c r="E53" s="609">
        <v>7665010</v>
      </c>
      <c r="F53" s="554" t="s">
        <v>683</v>
      </c>
      <c r="G53" s="554" t="s">
        <v>684</v>
      </c>
      <c r="H53" s="570">
        <f t="shared" si="14"/>
        <v>3691</v>
      </c>
      <c r="I53" s="604"/>
      <c r="J53" s="604"/>
      <c r="K53" s="570">
        <f>INDEX('[5]BC TT 85'!$A$12:$X$264,MATCH('[5]PL6243'!$B49,'[5]BC TT 85'!$B$12:$B$264,0),5)</f>
        <v>3691</v>
      </c>
      <c r="L53" s="571">
        <f t="shared" si="15"/>
        <v>2404</v>
      </c>
      <c r="M53" s="571"/>
      <c r="N53" s="571"/>
      <c r="O53" s="571">
        <f>INDEX('[5]BC TT 85'!$A$12:$X$264,MATCH('[5]PL6243'!$B49,'[5]BC TT 85'!$B$12:$B$264,0),24)</f>
        <v>2404</v>
      </c>
      <c r="P53" s="571">
        <v>2404</v>
      </c>
      <c r="Q53" s="571"/>
      <c r="R53" s="571"/>
      <c r="S53" s="571">
        <v>2404</v>
      </c>
      <c r="T53" s="570">
        <v>2404</v>
      </c>
      <c r="U53" s="570"/>
      <c r="V53" s="570"/>
      <c r="W53" s="570"/>
      <c r="X53" s="572">
        <v>2404</v>
      </c>
      <c r="Y53" s="572">
        <f t="shared" si="16"/>
        <v>1754.305</v>
      </c>
      <c r="Z53" s="572"/>
      <c r="AA53" s="572"/>
      <c r="AB53" s="572"/>
      <c r="AC53" s="572">
        <f>+INDEX('[5]BC TT 85'!$A$12:$X$264,MATCH('[5]PL6243'!$B49,'[5]BC TT 85'!$B$12:$B$264,0),22)</f>
        <v>1754.305</v>
      </c>
      <c r="AD53" s="585">
        <f t="shared" si="10"/>
        <v>0.7297441763727122</v>
      </c>
      <c r="AE53" s="586"/>
      <c r="AF53" s="586"/>
      <c r="AG53" s="585"/>
      <c r="AH53" s="587">
        <f t="shared" si="8"/>
        <v>0.7297441763727122</v>
      </c>
    </row>
    <row r="54" spans="1:34" ht="76.5">
      <c r="A54" s="552"/>
      <c r="B54" s="584" t="s">
        <v>685</v>
      </c>
      <c r="C54" s="554" t="s">
        <v>686</v>
      </c>
      <c r="D54" s="609"/>
      <c r="E54" s="609">
        <v>7479789</v>
      </c>
      <c r="F54" s="554" t="s">
        <v>687</v>
      </c>
      <c r="G54" s="554" t="s">
        <v>688</v>
      </c>
      <c r="H54" s="570">
        <f t="shared" si="14"/>
        <v>97442</v>
      </c>
      <c r="I54" s="604"/>
      <c r="J54" s="604"/>
      <c r="K54" s="570">
        <f>INDEX('[5]BC TT 85'!$A$12:$X$264,MATCH('[5]PL6243'!$B50,'[5]BC TT 85'!$B$12:$B$264,0),5)</f>
        <v>97442</v>
      </c>
      <c r="L54" s="571">
        <f t="shared" si="15"/>
        <v>6188.336</v>
      </c>
      <c r="M54" s="571"/>
      <c r="N54" s="571"/>
      <c r="O54" s="571">
        <f>INDEX('[5]BC TT 85'!$A$12:$X$264,MATCH('[5]PL6243'!$B50,'[5]BC TT 85'!$B$12:$B$264,0),24)</f>
        <v>6188.336</v>
      </c>
      <c r="P54" s="571">
        <v>6188.336</v>
      </c>
      <c r="Q54" s="571"/>
      <c r="R54" s="571"/>
      <c r="S54" s="571">
        <v>6188.336</v>
      </c>
      <c r="T54" s="570">
        <v>5791</v>
      </c>
      <c r="U54" s="570"/>
      <c r="V54" s="570"/>
      <c r="W54" s="570"/>
      <c r="X54" s="572">
        <v>5791</v>
      </c>
      <c r="Y54" s="572">
        <f t="shared" si="16"/>
        <v>5791</v>
      </c>
      <c r="Z54" s="572"/>
      <c r="AA54" s="572"/>
      <c r="AB54" s="572"/>
      <c r="AC54" s="572">
        <f>+INDEX('[5]BC TT 85'!$A$12:$X$264,MATCH('[5]PL6243'!$B50,'[5]BC TT 85'!$B$12:$B$264,0),22)</f>
        <v>5791</v>
      </c>
      <c r="AD54" s="585">
        <f t="shared" si="10"/>
        <v>1</v>
      </c>
      <c r="AE54" s="586"/>
      <c r="AF54" s="586"/>
      <c r="AG54" s="585"/>
      <c r="AH54" s="587">
        <f t="shared" si="8"/>
        <v>1</v>
      </c>
    </row>
    <row r="55" spans="1:34" s="603" customFormat="1" ht="32.25" customHeight="1">
      <c r="A55" s="565"/>
      <c r="B55" s="610" t="s">
        <v>309</v>
      </c>
      <c r="C55" s="599"/>
      <c r="D55" s="600"/>
      <c r="E55" s="600"/>
      <c r="F55" s="600"/>
      <c r="G55" s="600"/>
      <c r="H55" s="611"/>
      <c r="I55" s="611"/>
      <c r="J55" s="611"/>
      <c r="K55" s="611"/>
      <c r="L55" s="594"/>
      <c r="M55" s="594"/>
      <c r="N55" s="594"/>
      <c r="O55" s="594"/>
      <c r="P55" s="595"/>
      <c r="Q55" s="595"/>
      <c r="R55" s="595"/>
      <c r="S55" s="595"/>
      <c r="T55" s="612"/>
      <c r="U55" s="612"/>
      <c r="V55" s="612"/>
      <c r="W55" s="612"/>
      <c r="X55" s="612"/>
      <c r="Y55" s="601"/>
      <c r="Z55" s="606"/>
      <c r="AA55" s="606"/>
      <c r="AB55" s="606"/>
      <c r="AC55" s="606"/>
      <c r="AD55" s="547"/>
      <c r="AE55" s="559"/>
      <c r="AF55" s="559"/>
      <c r="AG55" s="547"/>
      <c r="AH55" s="550"/>
    </row>
    <row r="56" spans="1:34" s="613" customFormat="1" ht="15.75">
      <c r="A56" s="553"/>
      <c r="B56" s="569" t="s">
        <v>310</v>
      </c>
      <c r="C56" s="599"/>
      <c r="D56" s="600"/>
      <c r="E56" s="600"/>
      <c r="F56" s="600"/>
      <c r="G56" s="600"/>
      <c r="H56" s="611">
        <f>H57</f>
        <v>36417</v>
      </c>
      <c r="I56" s="611">
        <f aca="true" t="shared" si="17" ref="I56:AC56">I57</f>
        <v>0</v>
      </c>
      <c r="J56" s="611">
        <f t="shared" si="17"/>
        <v>0</v>
      </c>
      <c r="K56" s="611">
        <f t="shared" si="17"/>
        <v>36417</v>
      </c>
      <c r="L56" s="594">
        <f t="shared" si="17"/>
        <v>20594.843</v>
      </c>
      <c r="M56" s="594">
        <f t="shared" si="17"/>
        <v>0</v>
      </c>
      <c r="N56" s="594">
        <f t="shared" si="17"/>
        <v>0</v>
      </c>
      <c r="O56" s="594">
        <f t="shared" si="17"/>
        <v>20594.843</v>
      </c>
      <c r="P56" s="594">
        <v>20741.872</v>
      </c>
      <c r="Q56" s="594">
        <v>0</v>
      </c>
      <c r="R56" s="594">
        <v>0</v>
      </c>
      <c r="S56" s="594">
        <v>20741.872</v>
      </c>
      <c r="T56" s="611">
        <v>991</v>
      </c>
      <c r="U56" s="611">
        <v>0</v>
      </c>
      <c r="V56" s="611">
        <v>0</v>
      </c>
      <c r="W56" s="611">
        <v>0</v>
      </c>
      <c r="X56" s="594">
        <v>991</v>
      </c>
      <c r="Y56" s="601">
        <f t="shared" si="17"/>
        <v>843.971</v>
      </c>
      <c r="Z56" s="606">
        <f t="shared" si="17"/>
        <v>0</v>
      </c>
      <c r="AA56" s="606">
        <f t="shared" si="17"/>
        <v>0</v>
      </c>
      <c r="AB56" s="606">
        <f t="shared" si="17"/>
        <v>0</v>
      </c>
      <c r="AC56" s="601">
        <f t="shared" si="17"/>
        <v>843.971</v>
      </c>
      <c r="AD56" s="596">
        <f aca="true" t="shared" si="18" ref="AD56:AD65">Y56/T56</f>
        <v>0.851635721493441</v>
      </c>
      <c r="AE56" s="597"/>
      <c r="AF56" s="597"/>
      <c r="AG56" s="596"/>
      <c r="AH56" s="598">
        <f aca="true" t="shared" si="19" ref="AH56:AH65">AC56/X56</f>
        <v>0.851635721493441</v>
      </c>
    </row>
    <row r="57" spans="1:34" ht="102">
      <c r="A57" s="552"/>
      <c r="B57" s="584" t="s">
        <v>689</v>
      </c>
      <c r="C57" s="588" t="s">
        <v>690</v>
      </c>
      <c r="D57" s="609"/>
      <c r="E57" s="609">
        <v>7350488</v>
      </c>
      <c r="F57" s="589" t="s">
        <v>691</v>
      </c>
      <c r="G57" s="554" t="s">
        <v>692</v>
      </c>
      <c r="H57" s="570">
        <f>SUM(J57:K57)</f>
        <v>36417</v>
      </c>
      <c r="I57" s="604"/>
      <c r="J57" s="604"/>
      <c r="K57" s="570">
        <f>INDEX('[5]BC TT 85'!$A$12:$X$264,MATCH('[5]PL6243'!$B53,'[5]BC TT 85'!$B$12:$B$264,0),5)</f>
        <v>36417</v>
      </c>
      <c r="L57" s="571">
        <f>SUM(M57:O57)</f>
        <v>20594.843</v>
      </c>
      <c r="M57" s="571"/>
      <c r="N57" s="571"/>
      <c r="O57" s="571">
        <f>INDEX('[5]BC TT 85'!$A$12:$X$264,MATCH('[5]PL6243'!$B53,'[5]BC TT 85'!$B$12:$B$264,0),24)</f>
        <v>20594.843</v>
      </c>
      <c r="P57" s="571">
        <v>20741.872</v>
      </c>
      <c r="Q57" s="571"/>
      <c r="R57" s="571"/>
      <c r="S57" s="571">
        <v>20741.872</v>
      </c>
      <c r="T57" s="570">
        <v>991</v>
      </c>
      <c r="U57" s="570"/>
      <c r="V57" s="570"/>
      <c r="W57" s="570"/>
      <c r="X57" s="572">
        <v>991</v>
      </c>
      <c r="Y57" s="572">
        <f>SUM(Z57:AC57)</f>
        <v>843.971</v>
      </c>
      <c r="Z57" s="572"/>
      <c r="AA57" s="572"/>
      <c r="AB57" s="572"/>
      <c r="AC57" s="572">
        <f>+INDEX('[5]BC TT 85'!$A$12:$X$264,MATCH('[5]PL6243'!$B53,'[5]BC TT 85'!$B$12:$B$264,0),22)</f>
        <v>843.971</v>
      </c>
      <c r="AD57" s="585">
        <f t="shared" si="18"/>
        <v>0.851635721493441</v>
      </c>
      <c r="AE57" s="586"/>
      <c r="AF57" s="586"/>
      <c r="AG57" s="585"/>
      <c r="AH57" s="587">
        <f t="shared" si="19"/>
        <v>0.851635721493441</v>
      </c>
    </row>
    <row r="58" spans="1:34" s="613" customFormat="1" ht="15.75">
      <c r="A58" s="553"/>
      <c r="B58" s="569" t="s">
        <v>311</v>
      </c>
      <c r="C58" s="599"/>
      <c r="D58" s="600"/>
      <c r="E58" s="600"/>
      <c r="F58" s="600"/>
      <c r="G58" s="600"/>
      <c r="H58" s="594">
        <f aca="true" t="shared" si="20" ref="H58:O58">SUM(H59:H60)</f>
        <v>6451.631</v>
      </c>
      <c r="I58" s="594">
        <f t="shared" si="20"/>
        <v>0</v>
      </c>
      <c r="J58" s="594">
        <f t="shared" si="20"/>
        <v>0</v>
      </c>
      <c r="K58" s="594">
        <f t="shared" si="20"/>
        <v>6451.631</v>
      </c>
      <c r="L58" s="594">
        <f t="shared" si="20"/>
        <v>2420.746</v>
      </c>
      <c r="M58" s="594">
        <f t="shared" si="20"/>
        <v>0</v>
      </c>
      <c r="N58" s="594">
        <f t="shared" si="20"/>
        <v>0</v>
      </c>
      <c r="O58" s="594">
        <f t="shared" si="20"/>
        <v>2420.746</v>
      </c>
      <c r="P58" s="594">
        <v>2613</v>
      </c>
      <c r="Q58" s="594">
        <v>0</v>
      </c>
      <c r="R58" s="594">
        <v>0</v>
      </c>
      <c r="S58" s="594">
        <v>2613</v>
      </c>
      <c r="T58" s="611">
        <v>2613</v>
      </c>
      <c r="U58" s="611">
        <v>0</v>
      </c>
      <c r="V58" s="611">
        <v>0</v>
      </c>
      <c r="W58" s="611">
        <v>0</v>
      </c>
      <c r="X58" s="611">
        <v>2613</v>
      </c>
      <c r="Y58" s="594">
        <f>SUM(Y59:Y60)</f>
        <v>2339.325</v>
      </c>
      <c r="Z58" s="594">
        <f>SUM(Z59:Z60)</f>
        <v>0</v>
      </c>
      <c r="AA58" s="594">
        <f>SUM(AA59:AA60)</f>
        <v>0</v>
      </c>
      <c r="AB58" s="594">
        <f>SUM(AB59:AB60)</f>
        <v>0</v>
      </c>
      <c r="AC58" s="594">
        <f>SUM(AC59:AC60)</f>
        <v>2339.325</v>
      </c>
      <c r="AD58" s="596">
        <f t="shared" si="18"/>
        <v>0.8952640642939149</v>
      </c>
      <c r="AE58" s="597"/>
      <c r="AF58" s="597"/>
      <c r="AG58" s="596"/>
      <c r="AH58" s="598">
        <f t="shared" si="19"/>
        <v>0.8952640642939149</v>
      </c>
    </row>
    <row r="59" spans="1:34" ht="51">
      <c r="A59" s="552"/>
      <c r="B59" s="614" t="s">
        <v>693</v>
      </c>
      <c r="C59" s="615" t="s">
        <v>690</v>
      </c>
      <c r="D59" s="616"/>
      <c r="E59" s="616">
        <v>7639894</v>
      </c>
      <c r="F59" s="617" t="s">
        <v>683</v>
      </c>
      <c r="G59" s="617" t="s">
        <v>694</v>
      </c>
      <c r="H59" s="570">
        <f>SUM(J59:K59)</f>
        <v>4453.631</v>
      </c>
      <c r="I59" s="604"/>
      <c r="J59" s="604"/>
      <c r="K59" s="570">
        <f>INDEX('[5]BC TT 85'!$A$12:$X$264,MATCH('[5]PL6243'!$B55,'[5]BC TT 85'!$B$12:$B$264,0),5)</f>
        <v>4453.631</v>
      </c>
      <c r="L59" s="571">
        <f>SUM(M59:O59)</f>
        <v>1257.746</v>
      </c>
      <c r="M59" s="571"/>
      <c r="N59" s="571"/>
      <c r="O59" s="571">
        <f>INDEX('[5]BC TT 85'!$A$12:$X$264,MATCH('[5]PL6243'!$B55,'[5]BC TT 85'!$B$12:$B$264,0),24)</f>
        <v>1257.746</v>
      </c>
      <c r="P59" s="571">
        <v>1450</v>
      </c>
      <c r="Q59" s="571"/>
      <c r="R59" s="571"/>
      <c r="S59" s="571">
        <v>1450</v>
      </c>
      <c r="T59" s="570">
        <v>1450</v>
      </c>
      <c r="U59" s="570"/>
      <c r="V59" s="570"/>
      <c r="W59" s="570"/>
      <c r="X59" s="572">
        <v>1450</v>
      </c>
      <c r="Y59" s="572">
        <f>SUM(Z59:AC59)</f>
        <v>1257.746</v>
      </c>
      <c r="Z59" s="572"/>
      <c r="AA59" s="572"/>
      <c r="AB59" s="572"/>
      <c r="AC59" s="572">
        <f>+INDEX('[5]BC TT 85'!$A$12:$X$264,MATCH('[5]PL6243'!$B55,'[5]BC TT 85'!$B$12:$B$264,0),22)</f>
        <v>1257.746</v>
      </c>
      <c r="AD59" s="585">
        <f t="shared" si="18"/>
        <v>0.8674110344827587</v>
      </c>
      <c r="AE59" s="586"/>
      <c r="AF59" s="586"/>
      <c r="AG59" s="585"/>
      <c r="AH59" s="587">
        <f t="shared" si="19"/>
        <v>0.8674110344827587</v>
      </c>
    </row>
    <row r="60" spans="1:34" ht="89.25">
      <c r="A60" s="552"/>
      <c r="B60" s="618" t="s">
        <v>695</v>
      </c>
      <c r="C60" s="615" t="s">
        <v>696</v>
      </c>
      <c r="D60" s="616"/>
      <c r="E60" s="616">
        <v>7004686</v>
      </c>
      <c r="F60" s="617" t="s">
        <v>683</v>
      </c>
      <c r="G60" s="619" t="s">
        <v>697</v>
      </c>
      <c r="H60" s="570">
        <f>SUM(J60:K60)</f>
        <v>1998</v>
      </c>
      <c r="I60" s="570"/>
      <c r="J60" s="570"/>
      <c r="K60" s="570">
        <f>INDEX('[5]BC TT 85'!$A$12:$X$264,MATCH('[5]PL6243'!$B56,'[5]BC TT 85'!$B$12:$B$264,0),5)</f>
        <v>1998</v>
      </c>
      <c r="L60" s="571">
        <f>SUM(M60:O60)</f>
        <v>1163</v>
      </c>
      <c r="M60" s="571"/>
      <c r="N60" s="571"/>
      <c r="O60" s="571">
        <f>INDEX('[5]BC TT 85'!$A$12:$X$264,MATCH('[5]PL6243'!$B56,'[5]BC TT 85'!$B$12:$B$264,0),24)</f>
        <v>1163</v>
      </c>
      <c r="P60" s="571">
        <v>1163</v>
      </c>
      <c r="Q60" s="571"/>
      <c r="R60" s="571"/>
      <c r="S60" s="571">
        <v>1163</v>
      </c>
      <c r="T60" s="570">
        <v>1163</v>
      </c>
      <c r="U60" s="570"/>
      <c r="V60" s="570"/>
      <c r="W60" s="570"/>
      <c r="X60" s="572">
        <v>1163</v>
      </c>
      <c r="Y60" s="572">
        <f>SUM(Z60:AC60)</f>
        <v>1081.579</v>
      </c>
      <c r="Z60" s="572"/>
      <c r="AA60" s="572"/>
      <c r="AB60" s="572"/>
      <c r="AC60" s="572">
        <f>+INDEX('[5]BC TT 85'!$A$12:$X$264,MATCH('[5]PL6243'!$B56,'[5]BC TT 85'!$B$12:$B$264,0),22)</f>
        <v>1081.579</v>
      </c>
      <c r="AD60" s="585">
        <f t="shared" si="18"/>
        <v>0.9299905417024935</v>
      </c>
      <c r="AE60" s="586"/>
      <c r="AF60" s="586"/>
      <c r="AG60" s="585"/>
      <c r="AH60" s="587">
        <f t="shared" si="19"/>
        <v>0.9299905417024935</v>
      </c>
    </row>
    <row r="61" spans="1:34" ht="15.75">
      <c r="A61" s="552"/>
      <c r="B61" s="569" t="s">
        <v>312</v>
      </c>
      <c r="C61" s="588"/>
      <c r="D61" s="589"/>
      <c r="E61" s="589"/>
      <c r="F61" s="589"/>
      <c r="G61" s="589"/>
      <c r="H61" s="606">
        <f aca="true" t="shared" si="21" ref="H61:O61">SUM(H62:H65)</f>
        <v>25939</v>
      </c>
      <c r="I61" s="606">
        <f t="shared" si="21"/>
        <v>0</v>
      </c>
      <c r="J61" s="606">
        <f t="shared" si="21"/>
        <v>0</v>
      </c>
      <c r="K61" s="606">
        <f t="shared" si="21"/>
        <v>25939</v>
      </c>
      <c r="L61" s="601">
        <f t="shared" si="21"/>
        <v>15362.466</v>
      </c>
      <c r="M61" s="601">
        <f t="shared" si="21"/>
        <v>0</v>
      </c>
      <c r="N61" s="601">
        <f t="shared" si="21"/>
        <v>0</v>
      </c>
      <c r="O61" s="601">
        <f t="shared" si="21"/>
        <v>15362.466</v>
      </c>
      <c r="P61" s="601">
        <v>15433.092</v>
      </c>
      <c r="Q61" s="601">
        <v>0</v>
      </c>
      <c r="R61" s="601">
        <v>0</v>
      </c>
      <c r="S61" s="601">
        <v>15433.092</v>
      </c>
      <c r="T61" s="601">
        <v>437.835</v>
      </c>
      <c r="U61" s="601">
        <v>0</v>
      </c>
      <c r="V61" s="601">
        <v>0</v>
      </c>
      <c r="W61" s="601">
        <v>0</v>
      </c>
      <c r="X61" s="601">
        <v>437.835</v>
      </c>
      <c r="Y61" s="601">
        <f>SUM(Y62:Y65)</f>
        <v>367.209</v>
      </c>
      <c r="Z61" s="601">
        <f>SUM(Z62:Z65)</f>
        <v>0</v>
      </c>
      <c r="AA61" s="601">
        <f>SUM(AA62:AA65)</f>
        <v>0</v>
      </c>
      <c r="AB61" s="601">
        <f>SUM(AB62:AB65)</f>
        <v>0</v>
      </c>
      <c r="AC61" s="601">
        <f>SUM(AC62:AC65)</f>
        <v>367.209</v>
      </c>
      <c r="AD61" s="547">
        <f t="shared" si="18"/>
        <v>0.838692658193155</v>
      </c>
      <c r="AE61" s="559"/>
      <c r="AF61" s="559"/>
      <c r="AG61" s="547"/>
      <c r="AH61" s="550">
        <f t="shared" si="19"/>
        <v>0.838692658193155</v>
      </c>
    </row>
    <row r="62" spans="1:34" ht="38.25">
      <c r="A62" s="552"/>
      <c r="B62" s="584" t="s">
        <v>367</v>
      </c>
      <c r="C62" s="554" t="s">
        <v>774</v>
      </c>
      <c r="D62" s="609"/>
      <c r="E62" s="609">
        <v>7580550</v>
      </c>
      <c r="F62" s="554" t="s">
        <v>779</v>
      </c>
      <c r="G62" s="554" t="s">
        <v>780</v>
      </c>
      <c r="H62" s="570">
        <f>SUM(J62:K62)</f>
        <v>5009</v>
      </c>
      <c r="I62" s="604"/>
      <c r="J62" s="604"/>
      <c r="K62" s="570">
        <f>INDEX('[5]BC TT 85'!$A$12:$X$264,MATCH('[5]PL6243'!$B58,'[5]BC TT 85'!$B$12:$B$264,0),5)</f>
        <v>5009</v>
      </c>
      <c r="L62" s="571">
        <f>SUM(M62:O62)</f>
        <v>604.292</v>
      </c>
      <c r="M62" s="571"/>
      <c r="N62" s="571"/>
      <c r="O62" s="571">
        <f>INDEX('[5]BC TT 85'!$A$12:$X$264,MATCH('[5]PL6243'!$B58,'[5]BC TT 85'!$B$12:$B$264,0),24)</f>
        <v>604.292</v>
      </c>
      <c r="P62" s="571">
        <v>674.918</v>
      </c>
      <c r="Q62" s="571"/>
      <c r="R62" s="571"/>
      <c r="S62" s="571">
        <v>674.918</v>
      </c>
      <c r="T62" s="604">
        <v>313</v>
      </c>
      <c r="U62" s="604"/>
      <c r="V62" s="604"/>
      <c r="W62" s="604"/>
      <c r="X62" s="572">
        <v>313</v>
      </c>
      <c r="Y62" s="572">
        <f>SUM(Z62:AC62)</f>
        <v>242.374</v>
      </c>
      <c r="Z62" s="572"/>
      <c r="AA62" s="572"/>
      <c r="AB62" s="572"/>
      <c r="AC62" s="572">
        <f>+INDEX('[5]BC TT 85'!$A$12:$X$264,MATCH('[5]PL6243'!$B58,'[5]BC TT 85'!$B$12:$B$264,0),22)</f>
        <v>242.374</v>
      </c>
      <c r="AD62" s="585">
        <f t="shared" si="18"/>
        <v>0.7743578274760383</v>
      </c>
      <c r="AE62" s="586"/>
      <c r="AF62" s="586"/>
      <c r="AG62" s="585"/>
      <c r="AH62" s="587">
        <f t="shared" si="19"/>
        <v>0.7743578274760383</v>
      </c>
    </row>
    <row r="63" spans="1:34" ht="40.5">
      <c r="A63" s="552"/>
      <c r="B63" s="584" t="s">
        <v>365</v>
      </c>
      <c r="C63" s="554" t="s">
        <v>698</v>
      </c>
      <c r="D63" s="609"/>
      <c r="E63" s="609">
        <v>7402449</v>
      </c>
      <c r="F63" s="589" t="s">
        <v>669</v>
      </c>
      <c r="G63" s="554" t="s">
        <v>699</v>
      </c>
      <c r="H63" s="570">
        <f>SUM(J63:K63)</f>
        <v>14948</v>
      </c>
      <c r="I63" s="604"/>
      <c r="J63" s="604"/>
      <c r="K63" s="570">
        <f>INDEX('[5]BC TT 85'!$A$12:$X$264,MATCH('[5]PL6243'!$B59,'[5]BC TT 85'!$B$12:$B$264,0),5)</f>
        <v>14948</v>
      </c>
      <c r="L63" s="571">
        <f>SUM(M63:O63)</f>
        <v>10009.842</v>
      </c>
      <c r="M63" s="571"/>
      <c r="N63" s="571"/>
      <c r="O63" s="571">
        <f>INDEX('[5]BC TT 85'!$A$12:$X$264,MATCH('[5]PL6243'!$B59,'[5]BC TT 85'!$B$12:$B$264,0),24)</f>
        <v>10009.842</v>
      </c>
      <c r="P63" s="571">
        <v>10009.842</v>
      </c>
      <c r="Q63" s="571"/>
      <c r="R63" s="571"/>
      <c r="S63" s="571">
        <v>10009.842</v>
      </c>
      <c r="T63" s="571">
        <v>31.804</v>
      </c>
      <c r="U63" s="571"/>
      <c r="V63" s="571"/>
      <c r="W63" s="571"/>
      <c r="X63" s="572">
        <v>31.804</v>
      </c>
      <c r="Y63" s="572">
        <f>SUM(Z63:AC63)</f>
        <v>31.804</v>
      </c>
      <c r="Z63" s="572"/>
      <c r="AA63" s="572"/>
      <c r="AB63" s="572"/>
      <c r="AC63" s="572">
        <v>31.804</v>
      </c>
      <c r="AD63" s="585">
        <f t="shared" si="18"/>
        <v>1</v>
      </c>
      <c r="AE63" s="586"/>
      <c r="AF63" s="586"/>
      <c r="AG63" s="585"/>
      <c r="AH63" s="587">
        <f t="shared" si="19"/>
        <v>1</v>
      </c>
    </row>
    <row r="64" spans="1:34" ht="40.5">
      <c r="A64" s="552"/>
      <c r="B64" s="584" t="s">
        <v>368</v>
      </c>
      <c r="C64" s="554" t="s">
        <v>698</v>
      </c>
      <c r="D64" s="609"/>
      <c r="E64" s="609">
        <v>7598699</v>
      </c>
      <c r="F64" s="589" t="s">
        <v>700</v>
      </c>
      <c r="G64" s="554" t="s">
        <v>701</v>
      </c>
      <c r="H64" s="570">
        <f>SUM(J64:K64)</f>
        <v>4321</v>
      </c>
      <c r="I64" s="604"/>
      <c r="J64" s="604"/>
      <c r="K64" s="570">
        <f>INDEX('[5]BC TT 85'!$A$12:$X$264,MATCH('[5]PL6243'!$B60,'[5]BC TT 85'!$B$12:$B$264,0),5)</f>
        <v>4321</v>
      </c>
      <c r="L64" s="571">
        <f>SUM(M64:O64)</f>
        <v>3648.551</v>
      </c>
      <c r="M64" s="571"/>
      <c r="N64" s="571"/>
      <c r="O64" s="571">
        <f>INDEX('[5]BC TT 85'!$A$12:$X$264,MATCH('[5]PL6243'!$B60,'[5]BC TT 85'!$B$12:$B$264,0),24)</f>
        <v>3648.551</v>
      </c>
      <c r="P64" s="571">
        <v>3648.551</v>
      </c>
      <c r="Q64" s="571"/>
      <c r="R64" s="571"/>
      <c r="S64" s="571">
        <v>3648.551</v>
      </c>
      <c r="T64" s="571">
        <v>73.272</v>
      </c>
      <c r="U64" s="571"/>
      <c r="V64" s="571"/>
      <c r="W64" s="571"/>
      <c r="X64" s="572">
        <v>73.272</v>
      </c>
      <c r="Y64" s="572">
        <f>SUM(Z64:AC64)</f>
        <v>73.272</v>
      </c>
      <c r="Z64" s="572"/>
      <c r="AA64" s="572"/>
      <c r="AB64" s="572"/>
      <c r="AC64" s="572">
        <v>73.272</v>
      </c>
      <c r="AD64" s="585">
        <f t="shared" si="18"/>
        <v>1</v>
      </c>
      <c r="AE64" s="586"/>
      <c r="AF64" s="586"/>
      <c r="AG64" s="585"/>
      <c r="AH64" s="587">
        <f t="shared" si="19"/>
        <v>1</v>
      </c>
    </row>
    <row r="65" spans="1:34" ht="38.25">
      <c r="A65" s="552"/>
      <c r="B65" s="584" t="s">
        <v>369</v>
      </c>
      <c r="C65" s="554" t="s">
        <v>702</v>
      </c>
      <c r="D65" s="609"/>
      <c r="E65" s="609">
        <v>7613509</v>
      </c>
      <c r="F65" s="589" t="s">
        <v>672</v>
      </c>
      <c r="G65" s="554" t="s">
        <v>703</v>
      </c>
      <c r="H65" s="570">
        <f>SUM(J65:K65)</f>
        <v>1661</v>
      </c>
      <c r="I65" s="604"/>
      <c r="J65" s="604"/>
      <c r="K65" s="570">
        <f>INDEX('[5]BC TT 85'!$A$12:$X$264,MATCH('[5]PL6243'!$B61,'[5]BC TT 85'!$B$12:$B$264,0),5)</f>
        <v>1661</v>
      </c>
      <c r="L65" s="571">
        <f>SUM(M65:O65)</f>
        <v>1099.7810000000002</v>
      </c>
      <c r="M65" s="571"/>
      <c r="N65" s="571"/>
      <c r="O65" s="571">
        <f>INDEX('[5]BC TT 85'!$A$12:$X$264,MATCH('[5]PL6243'!$B61,'[5]BC TT 85'!$B$12:$B$264,0),24)</f>
        <v>1099.7810000000002</v>
      </c>
      <c r="P65" s="571">
        <v>1099.7810000000002</v>
      </c>
      <c r="Q65" s="571"/>
      <c r="R65" s="571"/>
      <c r="S65" s="571">
        <v>1099.7810000000002</v>
      </c>
      <c r="T65" s="571">
        <v>19.759</v>
      </c>
      <c r="U65" s="571"/>
      <c r="V65" s="571"/>
      <c r="W65" s="571"/>
      <c r="X65" s="572">
        <v>19.759</v>
      </c>
      <c r="Y65" s="572">
        <f>SUM(Z65:AC65)</f>
        <v>19.759</v>
      </c>
      <c r="Z65" s="572"/>
      <c r="AA65" s="572"/>
      <c r="AB65" s="572"/>
      <c r="AC65" s="572">
        <v>19.759</v>
      </c>
      <c r="AD65" s="585">
        <f t="shared" si="18"/>
        <v>1</v>
      </c>
      <c r="AE65" s="586"/>
      <c r="AF65" s="586"/>
      <c r="AG65" s="585"/>
      <c r="AH65" s="587">
        <f t="shared" si="19"/>
        <v>1</v>
      </c>
    </row>
    <row r="66" spans="1:34" ht="15.75">
      <c r="A66" s="552"/>
      <c r="B66" s="569" t="s">
        <v>313</v>
      </c>
      <c r="C66" s="588"/>
      <c r="D66" s="589"/>
      <c r="E66" s="589"/>
      <c r="F66" s="589"/>
      <c r="G66" s="589"/>
      <c r="H66" s="590"/>
      <c r="I66" s="590"/>
      <c r="J66" s="590"/>
      <c r="K66" s="590"/>
      <c r="L66" s="591"/>
      <c r="M66" s="591"/>
      <c r="N66" s="591"/>
      <c r="O66" s="591"/>
      <c r="P66" s="591"/>
      <c r="Q66" s="591"/>
      <c r="R66" s="591"/>
      <c r="S66" s="591"/>
      <c r="T66" s="590"/>
      <c r="U66" s="590"/>
      <c r="V66" s="590"/>
      <c r="W66" s="590"/>
      <c r="X66" s="590"/>
      <c r="Y66" s="592"/>
      <c r="Z66" s="605"/>
      <c r="AA66" s="605"/>
      <c r="AB66" s="605"/>
      <c r="AC66" s="605"/>
      <c r="AD66" s="585"/>
      <c r="AE66" s="586"/>
      <c r="AF66" s="586"/>
      <c r="AG66" s="585"/>
      <c r="AH66" s="587"/>
    </row>
    <row r="67" spans="1:34" s="613" customFormat="1" ht="15.75">
      <c r="A67" s="553"/>
      <c r="B67" s="569" t="s">
        <v>704</v>
      </c>
      <c r="C67" s="620"/>
      <c r="D67" s="621"/>
      <c r="E67" s="621"/>
      <c r="F67" s="620"/>
      <c r="G67" s="620"/>
      <c r="H67" s="555">
        <f>SUM(H68:H97)</f>
        <v>333894.38009999995</v>
      </c>
      <c r="I67" s="555">
        <f aca="true" t="shared" si="22" ref="I67:O67">SUM(I68:I97)</f>
        <v>0</v>
      </c>
      <c r="J67" s="555">
        <f t="shared" si="22"/>
        <v>0</v>
      </c>
      <c r="K67" s="555">
        <f t="shared" si="22"/>
        <v>333894.38009999995</v>
      </c>
      <c r="L67" s="556">
        <f>SUM(L68:L97)</f>
        <v>246780.95</v>
      </c>
      <c r="M67" s="556">
        <f t="shared" si="22"/>
        <v>0</v>
      </c>
      <c r="N67" s="556">
        <f t="shared" si="22"/>
        <v>0</v>
      </c>
      <c r="O67" s="556">
        <f t="shared" si="22"/>
        <v>246780.95</v>
      </c>
      <c r="P67" s="558">
        <v>246780.95</v>
      </c>
      <c r="Q67" s="558">
        <v>0</v>
      </c>
      <c r="R67" s="558">
        <v>0</v>
      </c>
      <c r="S67" s="558">
        <v>246780.95</v>
      </c>
      <c r="T67" s="558">
        <v>1687.0730000000005</v>
      </c>
      <c r="U67" s="558">
        <v>0</v>
      </c>
      <c r="V67" s="558">
        <v>0</v>
      </c>
      <c r="W67" s="558">
        <v>0</v>
      </c>
      <c r="X67" s="558">
        <v>1687.0730000000005</v>
      </c>
      <c r="Y67" s="558">
        <f>SUM(Y68:Y97)</f>
        <v>1687.0730000000005</v>
      </c>
      <c r="Z67" s="558">
        <f>SUM(Z68:Z97)</f>
        <v>0</v>
      </c>
      <c r="AA67" s="558">
        <f>SUM(AA68:AA97)</f>
        <v>0</v>
      </c>
      <c r="AB67" s="558">
        <f>SUM(AB68:AB97)</f>
        <v>0</v>
      </c>
      <c r="AC67" s="558">
        <f>SUM(AC68:AC97)</f>
        <v>1687.0730000000005</v>
      </c>
      <c r="AD67" s="596">
        <f aca="true" t="shared" si="23" ref="AD67:AD78">Y67/T67</f>
        <v>1</v>
      </c>
      <c r="AE67" s="597"/>
      <c r="AF67" s="597"/>
      <c r="AG67" s="596"/>
      <c r="AH67" s="598">
        <f aca="true" t="shared" si="24" ref="AH67:AH78">AC67/X67</f>
        <v>1</v>
      </c>
    </row>
    <row r="68" spans="1:34" ht="38.25">
      <c r="A68" s="552"/>
      <c r="B68" s="584" t="s">
        <v>321</v>
      </c>
      <c r="C68" s="554" t="s">
        <v>657</v>
      </c>
      <c r="D68" s="589"/>
      <c r="E68" s="589">
        <v>7424352</v>
      </c>
      <c r="F68" s="554" t="s">
        <v>669</v>
      </c>
      <c r="G68" s="554" t="s">
        <v>781</v>
      </c>
      <c r="H68" s="570">
        <f aca="true" t="shared" si="25" ref="H68:H74">SUM(J68:K68)</f>
        <v>2921</v>
      </c>
      <c r="I68" s="604"/>
      <c r="J68" s="604"/>
      <c r="K68" s="570">
        <f>INDEX('[5]BC TT 85'!$A$12:$X$264,MATCH('[5]PL6243'!$B64,'[5]BC TT 85'!$B$12:$B$264,0),5)</f>
        <v>2921</v>
      </c>
      <c r="L68" s="571">
        <f aca="true" t="shared" si="26" ref="L68:L97">SUM(M68:O68)</f>
        <v>1389.364</v>
      </c>
      <c r="M68" s="571"/>
      <c r="N68" s="571"/>
      <c r="O68" s="571">
        <f>INDEX('[5]BC TT 85'!$A$12:$X$264,MATCH('[5]PL6243'!$B64,'[5]BC TT 85'!$B$12:$B$264,0),24)</f>
        <v>1389.364</v>
      </c>
      <c r="P68" s="571">
        <v>1389.364</v>
      </c>
      <c r="Q68" s="571"/>
      <c r="R68" s="571"/>
      <c r="S68" s="571">
        <v>1389.364</v>
      </c>
      <c r="T68" s="571">
        <v>136.528</v>
      </c>
      <c r="U68" s="571"/>
      <c r="V68" s="571"/>
      <c r="W68" s="571"/>
      <c r="X68" s="572">
        <v>136.528</v>
      </c>
      <c r="Y68" s="572">
        <f aca="true" t="shared" si="27" ref="Y68:Y97">SUM(Z68:AC68)</f>
        <v>136.528</v>
      </c>
      <c r="Z68" s="572"/>
      <c r="AA68" s="572"/>
      <c r="AB68" s="572"/>
      <c r="AC68" s="572">
        <f>+INDEX('[5]BC TT 85'!$A$12:$X$264,MATCH('[5]PL6243'!$B64,'[5]BC TT 85'!$B$12:$B$264,0),22)</f>
        <v>136.528</v>
      </c>
      <c r="AD68" s="585">
        <f t="shared" si="23"/>
        <v>1</v>
      </c>
      <c r="AE68" s="586"/>
      <c r="AF68" s="586"/>
      <c r="AG68" s="585"/>
      <c r="AH68" s="587">
        <f t="shared" si="24"/>
        <v>1</v>
      </c>
    </row>
    <row r="69" spans="1:34" ht="38.25">
      <c r="A69" s="552"/>
      <c r="B69" s="584" t="s">
        <v>322</v>
      </c>
      <c r="C69" s="554" t="s">
        <v>657</v>
      </c>
      <c r="D69" s="589"/>
      <c r="E69" s="589">
        <v>7527631</v>
      </c>
      <c r="F69" s="554" t="s">
        <v>669</v>
      </c>
      <c r="G69" s="554" t="s">
        <v>782</v>
      </c>
      <c r="H69" s="570">
        <f t="shared" si="25"/>
        <v>6413</v>
      </c>
      <c r="I69" s="604"/>
      <c r="J69" s="604"/>
      <c r="K69" s="570">
        <f>INDEX('[5]BC TT 85'!$A$12:$X$264,MATCH('[5]PL6243'!$B65,'[5]BC TT 85'!$B$12:$B$264,0),5)</f>
        <v>6413</v>
      </c>
      <c r="L69" s="571">
        <f t="shared" si="26"/>
        <v>2863.171</v>
      </c>
      <c r="M69" s="571"/>
      <c r="N69" s="571"/>
      <c r="O69" s="571">
        <f>INDEX('[5]BC TT 85'!$A$12:$X$264,MATCH('[5]PL6243'!$B65,'[5]BC TT 85'!$B$12:$B$264,0),24)</f>
        <v>2863.171</v>
      </c>
      <c r="P69" s="571">
        <v>2863.171</v>
      </c>
      <c r="Q69" s="571"/>
      <c r="R69" s="571"/>
      <c r="S69" s="571">
        <v>2863.171</v>
      </c>
      <c r="T69" s="571">
        <v>58.049</v>
      </c>
      <c r="U69" s="571"/>
      <c r="V69" s="571"/>
      <c r="W69" s="571"/>
      <c r="X69" s="572">
        <v>58.049</v>
      </c>
      <c r="Y69" s="572">
        <f t="shared" si="27"/>
        <v>58.049</v>
      </c>
      <c r="Z69" s="572"/>
      <c r="AA69" s="572"/>
      <c r="AB69" s="572"/>
      <c r="AC69" s="572">
        <f>+INDEX('[5]BC TT 85'!$A$12:$X$264,MATCH('[5]PL6243'!$B65,'[5]BC TT 85'!$B$12:$B$264,0),22)</f>
        <v>58.049</v>
      </c>
      <c r="AD69" s="585">
        <f t="shared" si="23"/>
        <v>1</v>
      </c>
      <c r="AE69" s="586"/>
      <c r="AF69" s="586"/>
      <c r="AG69" s="585"/>
      <c r="AH69" s="587">
        <f t="shared" si="24"/>
        <v>1</v>
      </c>
    </row>
    <row r="70" spans="1:34" ht="40.5">
      <c r="A70" s="552"/>
      <c r="B70" s="584" t="s">
        <v>365</v>
      </c>
      <c r="C70" s="554" t="s">
        <v>698</v>
      </c>
      <c r="D70" s="609"/>
      <c r="E70" s="609">
        <v>7402449</v>
      </c>
      <c r="F70" s="554" t="s">
        <v>669</v>
      </c>
      <c r="G70" s="554" t="s">
        <v>783</v>
      </c>
      <c r="H70" s="570">
        <f t="shared" si="25"/>
        <v>14948</v>
      </c>
      <c r="I70" s="604"/>
      <c r="J70" s="604"/>
      <c r="K70" s="570">
        <f>INDEX('[5]BC TT 85'!$A$12:$X$264,MATCH('[5]PL6243'!$B66,'[5]BC TT 85'!$B$12:$B$264,0),5)</f>
        <v>14948</v>
      </c>
      <c r="L70" s="571">
        <f t="shared" si="26"/>
        <v>27.641</v>
      </c>
      <c r="M70" s="571"/>
      <c r="N70" s="571"/>
      <c r="O70" s="571">
        <f>'[5]BC TT 85'!X68</f>
        <v>27.641</v>
      </c>
      <c r="P70" s="571">
        <v>27.641</v>
      </c>
      <c r="Q70" s="571"/>
      <c r="R70" s="571"/>
      <c r="S70" s="571">
        <v>27.641</v>
      </c>
      <c r="T70" s="571">
        <v>27.641</v>
      </c>
      <c r="U70" s="571"/>
      <c r="V70" s="571"/>
      <c r="W70" s="571"/>
      <c r="X70" s="572">
        <v>27.641</v>
      </c>
      <c r="Y70" s="572">
        <f t="shared" si="27"/>
        <v>27.641</v>
      </c>
      <c r="Z70" s="572"/>
      <c r="AA70" s="572"/>
      <c r="AB70" s="572"/>
      <c r="AC70" s="572">
        <v>27.641</v>
      </c>
      <c r="AD70" s="585">
        <f t="shared" si="23"/>
        <v>1</v>
      </c>
      <c r="AE70" s="586"/>
      <c r="AF70" s="586"/>
      <c r="AG70" s="585"/>
      <c r="AH70" s="587">
        <f t="shared" si="24"/>
        <v>1</v>
      </c>
    </row>
    <row r="71" spans="1:34" ht="38.25">
      <c r="A71" s="552"/>
      <c r="B71" s="584" t="s">
        <v>331</v>
      </c>
      <c r="C71" s="554" t="s">
        <v>657</v>
      </c>
      <c r="D71" s="589"/>
      <c r="E71" s="589">
        <v>7540469</v>
      </c>
      <c r="F71" s="554" t="s">
        <v>675</v>
      </c>
      <c r="G71" s="554" t="s">
        <v>784</v>
      </c>
      <c r="H71" s="570">
        <f t="shared" si="25"/>
        <v>2905.786</v>
      </c>
      <c r="I71" s="604"/>
      <c r="J71" s="604"/>
      <c r="K71" s="570">
        <f>INDEX('[5]BC TT 85'!$A$12:$X$264,MATCH('[5]PL6243'!$B67,'[5]BC TT 85'!$B$12:$B$264,0),5)</f>
        <v>2905.786</v>
      </c>
      <c r="L71" s="571">
        <f t="shared" si="26"/>
        <v>25.907</v>
      </c>
      <c r="M71" s="571"/>
      <c r="N71" s="571"/>
      <c r="O71" s="571">
        <f>'[5]BC TT 85'!X69</f>
        <v>25.907</v>
      </c>
      <c r="P71" s="571">
        <v>25.907</v>
      </c>
      <c r="Q71" s="571"/>
      <c r="R71" s="571"/>
      <c r="S71" s="571">
        <v>25.907</v>
      </c>
      <c r="T71" s="571">
        <v>25.907</v>
      </c>
      <c r="U71" s="571"/>
      <c r="V71" s="571"/>
      <c r="W71" s="571"/>
      <c r="X71" s="572">
        <v>25.907</v>
      </c>
      <c r="Y71" s="572">
        <f t="shared" si="27"/>
        <v>25.907</v>
      </c>
      <c r="Z71" s="572"/>
      <c r="AA71" s="572"/>
      <c r="AB71" s="572"/>
      <c r="AC71" s="572">
        <v>25.907</v>
      </c>
      <c r="AD71" s="585">
        <f t="shared" si="23"/>
        <v>1</v>
      </c>
      <c r="AE71" s="586"/>
      <c r="AF71" s="586"/>
      <c r="AG71" s="585"/>
      <c r="AH71" s="587">
        <f t="shared" si="24"/>
        <v>1</v>
      </c>
    </row>
    <row r="72" spans="1:34" ht="63.75">
      <c r="A72" s="552"/>
      <c r="B72" s="584" t="s">
        <v>705</v>
      </c>
      <c r="C72" s="554" t="s">
        <v>690</v>
      </c>
      <c r="D72" s="609"/>
      <c r="E72" s="609">
        <v>7316774</v>
      </c>
      <c r="F72" s="589" t="s">
        <v>706</v>
      </c>
      <c r="G72" s="554" t="s">
        <v>707</v>
      </c>
      <c r="H72" s="570">
        <f t="shared" si="25"/>
        <v>26869.555</v>
      </c>
      <c r="I72" s="604"/>
      <c r="J72" s="604"/>
      <c r="K72" s="570">
        <f>INDEX('[5]BC TT 85'!$A$12:$X$264,MATCH('[5]PL6243'!$B68,'[5]BC TT 85'!$B$12:$B$264,0),5)</f>
        <v>26869.555</v>
      </c>
      <c r="L72" s="571">
        <f t="shared" si="26"/>
        <v>20645.057</v>
      </c>
      <c r="M72" s="571"/>
      <c r="N72" s="571"/>
      <c r="O72" s="571">
        <f>INDEX('[5]BC TT 85'!$A$12:$X$264,MATCH('[5]PL6243'!$B68,'[5]BC TT 85'!$B$12:$B$264,0),24)</f>
        <v>20645.057</v>
      </c>
      <c r="P72" s="571">
        <v>20645.057</v>
      </c>
      <c r="Q72" s="571"/>
      <c r="R72" s="571"/>
      <c r="S72" s="571">
        <v>20645.057</v>
      </c>
      <c r="T72" s="571">
        <v>289.008</v>
      </c>
      <c r="U72" s="571"/>
      <c r="V72" s="571"/>
      <c r="W72" s="571"/>
      <c r="X72" s="572">
        <v>289.008</v>
      </c>
      <c r="Y72" s="572">
        <f t="shared" si="27"/>
        <v>289.008</v>
      </c>
      <c r="Z72" s="572"/>
      <c r="AA72" s="572"/>
      <c r="AB72" s="572"/>
      <c r="AC72" s="572">
        <f>+INDEX('[5]BC TT 85'!$A$12:$X$264,MATCH('[5]PL6243'!$B68,'[5]BC TT 85'!$B$12:$B$264,0),22)</f>
        <v>289.008</v>
      </c>
      <c r="AD72" s="585">
        <f t="shared" si="23"/>
        <v>1</v>
      </c>
      <c r="AE72" s="586"/>
      <c r="AF72" s="586"/>
      <c r="AG72" s="585"/>
      <c r="AH72" s="587">
        <f t="shared" si="24"/>
        <v>1</v>
      </c>
    </row>
    <row r="73" spans="1:34" ht="38.25">
      <c r="A73" s="552"/>
      <c r="B73" s="584" t="s">
        <v>708</v>
      </c>
      <c r="C73" s="554" t="s">
        <v>663</v>
      </c>
      <c r="D73" s="589"/>
      <c r="E73" s="589">
        <v>7511922</v>
      </c>
      <c r="F73" s="589" t="s">
        <v>675</v>
      </c>
      <c r="G73" s="554" t="s">
        <v>709</v>
      </c>
      <c r="H73" s="570">
        <f t="shared" si="25"/>
        <v>5509.296</v>
      </c>
      <c r="I73" s="604"/>
      <c r="J73" s="604"/>
      <c r="K73" s="570">
        <f>INDEX('[5]BC TT 85'!$A$12:$X$264,MATCH('[5]PL6243'!$B69,'[5]BC TT 85'!$B$12:$B$264,0),5)</f>
        <v>5509.296</v>
      </c>
      <c r="L73" s="571">
        <f t="shared" si="26"/>
        <v>2830.8770000000004</v>
      </c>
      <c r="M73" s="571"/>
      <c r="N73" s="571"/>
      <c r="O73" s="571">
        <f>INDEX('[5]BC TT 85'!$A$12:$X$264,MATCH('[5]PL6243'!$B69,'[5]BC TT 85'!$B$12:$B$264,0),24)</f>
        <v>2830.8770000000004</v>
      </c>
      <c r="P73" s="571">
        <v>2830.8770000000004</v>
      </c>
      <c r="Q73" s="571"/>
      <c r="R73" s="571"/>
      <c r="S73" s="571">
        <v>2830.8770000000004</v>
      </c>
      <c r="T73" s="571">
        <v>33.123</v>
      </c>
      <c r="U73" s="571"/>
      <c r="V73" s="571"/>
      <c r="W73" s="571"/>
      <c r="X73" s="572">
        <v>33.123</v>
      </c>
      <c r="Y73" s="572">
        <f t="shared" si="27"/>
        <v>33.123</v>
      </c>
      <c r="Z73" s="572"/>
      <c r="AA73" s="572"/>
      <c r="AB73" s="572"/>
      <c r="AC73" s="572">
        <f>+INDEX('[5]BC TT 85'!$A$12:$X$264,MATCH('[5]PL6243'!$B69,'[5]BC TT 85'!$B$12:$B$264,0),22)</f>
        <v>33.123</v>
      </c>
      <c r="AD73" s="585">
        <f t="shared" si="23"/>
        <v>1</v>
      </c>
      <c r="AE73" s="586"/>
      <c r="AF73" s="586"/>
      <c r="AG73" s="585"/>
      <c r="AH73" s="587">
        <f t="shared" si="24"/>
        <v>1</v>
      </c>
    </row>
    <row r="74" spans="1:34" ht="76.5">
      <c r="A74" s="552"/>
      <c r="B74" s="584" t="s">
        <v>710</v>
      </c>
      <c r="C74" s="554" t="s">
        <v>671</v>
      </c>
      <c r="D74" s="589"/>
      <c r="E74" s="589">
        <v>7557549</v>
      </c>
      <c r="F74" s="589" t="s">
        <v>675</v>
      </c>
      <c r="G74" s="554" t="s">
        <v>711</v>
      </c>
      <c r="H74" s="570">
        <f t="shared" si="25"/>
        <v>1793.076</v>
      </c>
      <c r="I74" s="604"/>
      <c r="J74" s="604"/>
      <c r="K74" s="570">
        <f>INDEX('[5]BC TT 85'!$A$12:$X$264,MATCH('[5]PL6243'!$B70,'[5]BC TT 85'!$B$12:$B$264,0),5)</f>
        <v>1793.076</v>
      </c>
      <c r="L74" s="571">
        <f t="shared" si="26"/>
        <v>1578.681</v>
      </c>
      <c r="M74" s="571"/>
      <c r="N74" s="571"/>
      <c r="O74" s="571">
        <f>INDEX('[5]BC TT 85'!$A$12:$X$264,MATCH('[5]PL6243'!$B70,'[5]BC TT 85'!$B$12:$B$264,0),24)</f>
        <v>1578.681</v>
      </c>
      <c r="P74" s="571">
        <v>1578.681</v>
      </c>
      <c r="Q74" s="571"/>
      <c r="R74" s="571"/>
      <c r="S74" s="571">
        <v>1578.681</v>
      </c>
      <c r="T74" s="571">
        <v>15.114</v>
      </c>
      <c r="U74" s="571"/>
      <c r="V74" s="571"/>
      <c r="W74" s="571"/>
      <c r="X74" s="572">
        <v>15.114</v>
      </c>
      <c r="Y74" s="572">
        <f t="shared" si="27"/>
        <v>15.114</v>
      </c>
      <c r="Z74" s="572"/>
      <c r="AA74" s="572"/>
      <c r="AB74" s="572"/>
      <c r="AC74" s="572">
        <f>+INDEX('[5]BC TT 85'!$A$12:$X$264,MATCH('[5]PL6243'!$B70,'[5]BC TT 85'!$B$12:$B$264,0),22)</f>
        <v>15.114</v>
      </c>
      <c r="AD74" s="585">
        <f t="shared" si="23"/>
        <v>1</v>
      </c>
      <c r="AE74" s="586"/>
      <c r="AF74" s="586"/>
      <c r="AG74" s="585"/>
      <c r="AH74" s="587">
        <f t="shared" si="24"/>
        <v>1</v>
      </c>
    </row>
    <row r="75" spans="1:34" ht="40.5">
      <c r="A75" s="552"/>
      <c r="B75" s="584" t="s">
        <v>712</v>
      </c>
      <c r="C75" s="554" t="s">
        <v>671</v>
      </c>
      <c r="D75" s="589"/>
      <c r="E75" s="589">
        <v>7427242</v>
      </c>
      <c r="F75" s="589" t="s">
        <v>713</v>
      </c>
      <c r="G75" s="554" t="s">
        <v>714</v>
      </c>
      <c r="H75" s="570">
        <f aca="true" t="shared" si="28" ref="H75:H97">SUM(J75:K75)</f>
        <v>5160.762</v>
      </c>
      <c r="I75" s="604"/>
      <c r="J75" s="604"/>
      <c r="K75" s="570">
        <f>INDEX('[5]BC TT 85'!$A$12:$X$264,MATCH('[5]PL6243'!$B71,'[5]BC TT 85'!$B$12:$B$264,0),5)</f>
        <v>5160.762</v>
      </c>
      <c r="L75" s="571">
        <f t="shared" si="26"/>
        <v>3102.434</v>
      </c>
      <c r="M75" s="571"/>
      <c r="N75" s="571"/>
      <c r="O75" s="571">
        <f>INDEX('[5]BC TT 85'!$A$12:$X$264,MATCH('[5]PL6243'!$B71,'[5]BC TT 85'!$B$12:$B$264,0),24)</f>
        <v>3102.434</v>
      </c>
      <c r="P75" s="571">
        <v>3102.434</v>
      </c>
      <c r="Q75" s="571"/>
      <c r="R75" s="571"/>
      <c r="S75" s="571">
        <v>3102.434</v>
      </c>
      <c r="T75" s="571">
        <v>21.203</v>
      </c>
      <c r="U75" s="571"/>
      <c r="V75" s="571"/>
      <c r="W75" s="571"/>
      <c r="X75" s="572">
        <v>21.203</v>
      </c>
      <c r="Y75" s="572">
        <f t="shared" si="27"/>
        <v>21.203</v>
      </c>
      <c r="Z75" s="572"/>
      <c r="AA75" s="572"/>
      <c r="AB75" s="572"/>
      <c r="AC75" s="572">
        <f>+INDEX('[5]BC TT 85'!$A$12:$X$264,MATCH('[5]PL6243'!$B71,'[5]BC TT 85'!$B$12:$B$264,0),22)</f>
        <v>21.203</v>
      </c>
      <c r="AD75" s="585">
        <f t="shared" si="23"/>
        <v>1</v>
      </c>
      <c r="AE75" s="586"/>
      <c r="AF75" s="586"/>
      <c r="AG75" s="585"/>
      <c r="AH75" s="587">
        <f t="shared" si="24"/>
        <v>1</v>
      </c>
    </row>
    <row r="76" spans="1:34" ht="38.25">
      <c r="A76" s="552"/>
      <c r="B76" s="584" t="s">
        <v>715</v>
      </c>
      <c r="C76" s="554" t="s">
        <v>716</v>
      </c>
      <c r="D76" s="609"/>
      <c r="E76" s="609">
        <v>7427247</v>
      </c>
      <c r="F76" s="554" t="s">
        <v>713</v>
      </c>
      <c r="G76" s="554" t="s">
        <v>717</v>
      </c>
      <c r="H76" s="570">
        <f t="shared" si="28"/>
        <v>1786.27</v>
      </c>
      <c r="I76" s="604"/>
      <c r="J76" s="604"/>
      <c r="K76" s="570">
        <f>INDEX('[5]BC TT 85'!$A$12:$X$264,MATCH('[5]PL6243'!$B72,'[5]BC TT 85'!$B$12:$B$264,0),5)</f>
        <v>1786.27</v>
      </c>
      <c r="L76" s="571">
        <f t="shared" si="26"/>
        <v>1012.01</v>
      </c>
      <c r="M76" s="571"/>
      <c r="N76" s="571"/>
      <c r="O76" s="571">
        <f>INDEX('[5]BC TT 85'!$A$12:$X$264,MATCH('[5]PL6243'!$B72,'[5]BC TT 85'!$B$12:$B$264,0),24)</f>
        <v>1012.01</v>
      </c>
      <c r="P76" s="571">
        <v>1012.01</v>
      </c>
      <c r="Q76" s="571"/>
      <c r="R76" s="571"/>
      <c r="S76" s="571">
        <v>1012.01</v>
      </c>
      <c r="T76" s="571">
        <v>7.468</v>
      </c>
      <c r="U76" s="571"/>
      <c r="V76" s="571"/>
      <c r="W76" s="571"/>
      <c r="X76" s="572">
        <v>7.468</v>
      </c>
      <c r="Y76" s="572">
        <f t="shared" si="27"/>
        <v>7.468</v>
      </c>
      <c r="Z76" s="572"/>
      <c r="AA76" s="572"/>
      <c r="AB76" s="572"/>
      <c r="AC76" s="572">
        <f>+INDEX('[5]BC TT 85'!$A$12:$X$264,MATCH('[5]PL6243'!$B72,'[5]BC TT 85'!$B$12:$B$264,0),22)</f>
        <v>7.468</v>
      </c>
      <c r="AD76" s="585">
        <f t="shared" si="23"/>
        <v>1</v>
      </c>
      <c r="AE76" s="586"/>
      <c r="AF76" s="586"/>
      <c r="AG76" s="585"/>
      <c r="AH76" s="587">
        <f t="shared" si="24"/>
        <v>1</v>
      </c>
    </row>
    <row r="77" spans="1:34" ht="51">
      <c r="A77" s="552"/>
      <c r="B77" s="584" t="s">
        <v>427</v>
      </c>
      <c r="C77" s="554" t="s">
        <v>690</v>
      </c>
      <c r="D77" s="609"/>
      <c r="E77" s="609">
        <v>7434352</v>
      </c>
      <c r="F77" s="554" t="s">
        <v>718</v>
      </c>
      <c r="G77" s="554" t="s">
        <v>719</v>
      </c>
      <c r="H77" s="570">
        <f t="shared" si="28"/>
        <v>13382.875</v>
      </c>
      <c r="I77" s="604"/>
      <c r="J77" s="604"/>
      <c r="K77" s="570">
        <f>INDEX('[5]BC TT 85'!$A$12:$X$264,MATCH('[5]PL6243'!$B73,'[5]BC TT 85'!$B$12:$B$264,0),5)</f>
        <v>13382.875</v>
      </c>
      <c r="L77" s="571">
        <f t="shared" si="26"/>
        <v>11219.444</v>
      </c>
      <c r="M77" s="571"/>
      <c r="N77" s="571"/>
      <c r="O77" s="571">
        <f>INDEX('[5]BC TT 85'!$A$12:$X$264,MATCH('[5]PL6243'!$B73,'[5]BC TT 85'!$B$12:$B$264,0),24)</f>
        <v>11219.444</v>
      </c>
      <c r="P77" s="571">
        <v>11219.444</v>
      </c>
      <c r="Q77" s="571"/>
      <c r="R77" s="571"/>
      <c r="S77" s="571">
        <v>11219.444</v>
      </c>
      <c r="T77" s="571">
        <v>48.61</v>
      </c>
      <c r="U77" s="571"/>
      <c r="V77" s="571"/>
      <c r="W77" s="571"/>
      <c r="X77" s="572">
        <v>48.61</v>
      </c>
      <c r="Y77" s="572">
        <f t="shared" si="27"/>
        <v>48.61</v>
      </c>
      <c r="Z77" s="572"/>
      <c r="AA77" s="572"/>
      <c r="AB77" s="572"/>
      <c r="AC77" s="572">
        <f>+INDEX('[5]BC TT 85'!$A$12:$X$264,MATCH('[5]PL6243'!$B73,'[5]BC TT 85'!$B$12:$B$264,0),22)</f>
        <v>48.61</v>
      </c>
      <c r="AD77" s="585">
        <f t="shared" si="23"/>
        <v>1</v>
      </c>
      <c r="AE77" s="586"/>
      <c r="AF77" s="586"/>
      <c r="AG77" s="585"/>
      <c r="AH77" s="587">
        <f t="shared" si="24"/>
        <v>1</v>
      </c>
    </row>
    <row r="78" spans="1:34" ht="38.25">
      <c r="A78" s="552"/>
      <c r="B78" s="584" t="s">
        <v>720</v>
      </c>
      <c r="C78" s="554" t="s">
        <v>690</v>
      </c>
      <c r="D78" s="609"/>
      <c r="E78" s="609">
        <v>7553437</v>
      </c>
      <c r="F78" s="589" t="s">
        <v>672</v>
      </c>
      <c r="G78" s="554" t="s">
        <v>721</v>
      </c>
      <c r="H78" s="570">
        <f t="shared" si="28"/>
        <v>2715</v>
      </c>
      <c r="I78" s="604"/>
      <c r="J78" s="604"/>
      <c r="K78" s="570">
        <f>INDEX('[5]BC TT 85'!$A$12:$X$264,MATCH('[5]PL6243'!$B74,'[5]BC TT 85'!$B$12:$B$264,0),5)</f>
        <v>2715</v>
      </c>
      <c r="L78" s="571">
        <f t="shared" si="26"/>
        <v>2331.824</v>
      </c>
      <c r="M78" s="571"/>
      <c r="N78" s="571"/>
      <c r="O78" s="571">
        <f>INDEX('[5]BC TT 85'!$A$12:$X$264,MATCH('[5]PL6243'!$B74,'[5]BC TT 85'!$B$12:$B$264,0),24)</f>
        <v>2331.824</v>
      </c>
      <c r="P78" s="571">
        <v>2331.824</v>
      </c>
      <c r="Q78" s="571"/>
      <c r="R78" s="571"/>
      <c r="S78" s="571">
        <v>2331.824</v>
      </c>
      <c r="T78" s="571">
        <v>13.253</v>
      </c>
      <c r="U78" s="571"/>
      <c r="V78" s="571"/>
      <c r="W78" s="571"/>
      <c r="X78" s="572">
        <v>13.253</v>
      </c>
      <c r="Y78" s="572">
        <f t="shared" si="27"/>
        <v>13.253</v>
      </c>
      <c r="Z78" s="572"/>
      <c r="AA78" s="572"/>
      <c r="AB78" s="572"/>
      <c r="AC78" s="572">
        <f>+INDEX('[5]BC TT 85'!$A$12:$X$264,MATCH('[5]PL6243'!$B74,'[5]BC TT 85'!$B$12:$B$264,0),22)</f>
        <v>13.253</v>
      </c>
      <c r="AD78" s="585">
        <f t="shared" si="23"/>
        <v>1</v>
      </c>
      <c r="AE78" s="586"/>
      <c r="AF78" s="586"/>
      <c r="AG78" s="585"/>
      <c r="AH78" s="587">
        <f t="shared" si="24"/>
        <v>1</v>
      </c>
    </row>
    <row r="79" spans="1:34" ht="40.5">
      <c r="A79" s="552"/>
      <c r="B79" s="584" t="s">
        <v>360</v>
      </c>
      <c r="C79" s="554" t="s">
        <v>663</v>
      </c>
      <c r="D79" s="609"/>
      <c r="E79" s="609">
        <v>7564190</v>
      </c>
      <c r="F79" s="554" t="s">
        <v>672</v>
      </c>
      <c r="G79" s="554" t="s">
        <v>722</v>
      </c>
      <c r="H79" s="570">
        <f t="shared" si="28"/>
        <v>763.36</v>
      </c>
      <c r="I79" s="604"/>
      <c r="J79" s="604"/>
      <c r="K79" s="570">
        <f>INDEX('[5]BC TT 85'!$A$12:$X$264,MATCH('[5]PL6243'!$B75,'[5]BC TT 85'!$B$12:$B$264,0),5)</f>
        <v>763.36</v>
      </c>
      <c r="L79" s="571">
        <f t="shared" si="26"/>
        <v>634.5269999999999</v>
      </c>
      <c r="M79" s="571"/>
      <c r="N79" s="571"/>
      <c r="O79" s="571">
        <f>INDEX('[5]BC TT 85'!$A$12:$X$264,MATCH('[5]PL6243'!$B75,'[5]BC TT 85'!$B$12:$B$264,0),24)</f>
        <v>634.5269999999999</v>
      </c>
      <c r="P79" s="571">
        <v>634.5269999999999</v>
      </c>
      <c r="Q79" s="571"/>
      <c r="R79" s="571"/>
      <c r="S79" s="571">
        <v>634.5269999999999</v>
      </c>
      <c r="T79" s="571">
        <v>14.914</v>
      </c>
      <c r="U79" s="571"/>
      <c r="V79" s="571"/>
      <c r="W79" s="571"/>
      <c r="X79" s="572">
        <v>14.914</v>
      </c>
      <c r="Y79" s="572">
        <f t="shared" si="27"/>
        <v>14.914</v>
      </c>
      <c r="Z79" s="572"/>
      <c r="AA79" s="572"/>
      <c r="AB79" s="572"/>
      <c r="AC79" s="572">
        <f>+INDEX('[5]BC TT 85'!$A$12:$X$264,MATCH('[5]PL6243'!$B75,'[5]BC TT 85'!$B$12:$B$264,0),22)</f>
        <v>14.914</v>
      </c>
      <c r="AD79" s="585">
        <f aca="true" t="shared" si="29" ref="AD79:AD97">Y79/T79</f>
        <v>1</v>
      </c>
      <c r="AE79" s="586"/>
      <c r="AF79" s="586"/>
      <c r="AG79" s="585"/>
      <c r="AH79" s="587">
        <f aca="true" t="shared" si="30" ref="AH79:AH97">AC79/X79</f>
        <v>1</v>
      </c>
    </row>
    <row r="80" spans="1:34" ht="25.5">
      <c r="A80" s="552"/>
      <c r="B80" s="584" t="s">
        <v>723</v>
      </c>
      <c r="C80" s="554" t="s">
        <v>663</v>
      </c>
      <c r="D80" s="589"/>
      <c r="E80" s="589">
        <v>7430212</v>
      </c>
      <c r="F80" s="554" t="s">
        <v>713</v>
      </c>
      <c r="G80" s="554" t="s">
        <v>724</v>
      </c>
      <c r="H80" s="570">
        <f t="shared" si="28"/>
        <v>3184.449</v>
      </c>
      <c r="I80" s="604"/>
      <c r="J80" s="604"/>
      <c r="K80" s="570">
        <f>INDEX('[5]BC TT 85'!$A$12:$X$264,MATCH('[5]PL6243'!$B76,'[5]BC TT 85'!$B$12:$B$264,0),5)</f>
        <v>3184.449</v>
      </c>
      <c r="L80" s="571">
        <f t="shared" si="26"/>
        <v>2098.352</v>
      </c>
      <c r="M80" s="571"/>
      <c r="N80" s="571"/>
      <c r="O80" s="571">
        <f>INDEX('[5]BC TT 85'!$A$12:$X$264,MATCH('[5]PL6243'!$B76,'[5]BC TT 85'!$B$12:$B$264,0),24)</f>
        <v>2098.352</v>
      </c>
      <c r="P80" s="571">
        <v>2098.352</v>
      </c>
      <c r="Q80" s="571"/>
      <c r="R80" s="571"/>
      <c r="S80" s="571">
        <v>2098.352</v>
      </c>
      <c r="T80" s="571">
        <v>58.503</v>
      </c>
      <c r="U80" s="571"/>
      <c r="V80" s="571"/>
      <c r="W80" s="571"/>
      <c r="X80" s="572">
        <v>58.503</v>
      </c>
      <c r="Y80" s="572">
        <f t="shared" si="27"/>
        <v>58.503</v>
      </c>
      <c r="Z80" s="572"/>
      <c r="AA80" s="572"/>
      <c r="AB80" s="572"/>
      <c r="AC80" s="572">
        <f>+INDEX('[5]BC TT 85'!$A$12:$X$264,MATCH('[5]PL6243'!$B76,'[5]BC TT 85'!$B$12:$B$264,0),22)</f>
        <v>58.503</v>
      </c>
      <c r="AD80" s="585">
        <f t="shared" si="29"/>
        <v>1</v>
      </c>
      <c r="AE80" s="586"/>
      <c r="AF80" s="586"/>
      <c r="AG80" s="585"/>
      <c r="AH80" s="587">
        <f t="shared" si="30"/>
        <v>1</v>
      </c>
    </row>
    <row r="81" spans="1:34" ht="81">
      <c r="A81" s="552"/>
      <c r="B81" s="584" t="s">
        <v>326</v>
      </c>
      <c r="C81" s="554" t="s">
        <v>657</v>
      </c>
      <c r="D81" s="589"/>
      <c r="E81" s="589">
        <v>7617700</v>
      </c>
      <c r="F81" s="554" t="s">
        <v>658</v>
      </c>
      <c r="G81" s="554" t="s">
        <v>785</v>
      </c>
      <c r="H81" s="570">
        <f t="shared" si="28"/>
        <v>8453.908</v>
      </c>
      <c r="I81" s="604"/>
      <c r="J81" s="604"/>
      <c r="K81" s="570">
        <f>INDEX('[5]BC TT 85'!$A$12:$X$264,MATCH('[5]PL6243'!$B77,'[5]BC TT 85'!$B$12:$B$264,0),5)</f>
        <v>8453.908</v>
      </c>
      <c r="L81" s="571">
        <f t="shared" si="26"/>
        <v>7354.447</v>
      </c>
      <c r="M81" s="571"/>
      <c r="N81" s="571"/>
      <c r="O81" s="571">
        <f>INDEX('[5]BC TT 85'!$A$12:$X$264,MATCH('[5]PL6243'!$B77,'[5]BC TT 85'!$B$12:$B$264,0),24)</f>
        <v>7354.447</v>
      </c>
      <c r="P81" s="571">
        <v>7354.447</v>
      </c>
      <c r="Q81" s="571"/>
      <c r="R81" s="571"/>
      <c r="S81" s="571">
        <v>7354.447</v>
      </c>
      <c r="T81" s="571">
        <v>81.544</v>
      </c>
      <c r="U81" s="571"/>
      <c r="V81" s="571"/>
      <c r="W81" s="571"/>
      <c r="X81" s="572">
        <v>81.544</v>
      </c>
      <c r="Y81" s="572">
        <f t="shared" si="27"/>
        <v>81.544</v>
      </c>
      <c r="Z81" s="572"/>
      <c r="AA81" s="572"/>
      <c r="AB81" s="572"/>
      <c r="AC81" s="572">
        <f>+INDEX('[5]BC TT 85'!$A$12:$X$264,MATCH('[5]PL6243'!$B77,'[5]BC TT 85'!$B$12:$B$264,0),22)</f>
        <v>81.544</v>
      </c>
      <c r="AD81" s="585">
        <f t="shared" si="29"/>
        <v>1</v>
      </c>
      <c r="AE81" s="586"/>
      <c r="AF81" s="586"/>
      <c r="AG81" s="585"/>
      <c r="AH81" s="587">
        <f t="shared" si="30"/>
        <v>1</v>
      </c>
    </row>
    <row r="82" spans="1:34" ht="40.5">
      <c r="A82" s="552"/>
      <c r="B82" s="584" t="s">
        <v>725</v>
      </c>
      <c r="C82" s="554" t="s">
        <v>671</v>
      </c>
      <c r="D82" s="589"/>
      <c r="E82" s="589">
        <v>7427247</v>
      </c>
      <c r="F82" s="554" t="s">
        <v>713</v>
      </c>
      <c r="G82" s="554" t="s">
        <v>717</v>
      </c>
      <c r="H82" s="570">
        <f t="shared" si="28"/>
        <v>4117.52</v>
      </c>
      <c r="I82" s="604"/>
      <c r="J82" s="604"/>
      <c r="K82" s="570">
        <f>INDEX('[5]BC TT 85'!$A$12:$X$264,MATCH('[5]PL6243'!$B78,'[5]BC TT 85'!$B$12:$B$264,0),5)</f>
        <v>4117.52</v>
      </c>
      <c r="L82" s="571">
        <f t="shared" si="26"/>
        <v>1918.994</v>
      </c>
      <c r="M82" s="571"/>
      <c r="N82" s="571"/>
      <c r="O82" s="571">
        <f>INDEX('[5]BC TT 85'!$A$12:$X$264,MATCH('[5]PL6243'!$B78,'[5]BC TT 85'!$B$12:$B$264,0),24)</f>
        <v>1918.994</v>
      </c>
      <c r="P82" s="571">
        <v>1918.994</v>
      </c>
      <c r="Q82" s="571"/>
      <c r="R82" s="571"/>
      <c r="S82" s="571">
        <v>1918.994</v>
      </c>
      <c r="T82" s="571">
        <v>14.537</v>
      </c>
      <c r="U82" s="571"/>
      <c r="V82" s="571"/>
      <c r="W82" s="571"/>
      <c r="X82" s="572">
        <v>14.537</v>
      </c>
      <c r="Y82" s="572">
        <f t="shared" si="27"/>
        <v>14.537</v>
      </c>
      <c r="Z82" s="572"/>
      <c r="AA82" s="572"/>
      <c r="AB82" s="572"/>
      <c r="AC82" s="572">
        <f>+INDEX('[5]BC TT 85'!$A$12:$X$264,MATCH('[5]PL6243'!$B78,'[5]BC TT 85'!$B$12:$B$264,0),22)</f>
        <v>14.537</v>
      </c>
      <c r="AD82" s="585">
        <f t="shared" si="29"/>
        <v>1</v>
      </c>
      <c r="AE82" s="586"/>
      <c r="AF82" s="586"/>
      <c r="AG82" s="585"/>
      <c r="AH82" s="587">
        <f t="shared" si="30"/>
        <v>1</v>
      </c>
    </row>
    <row r="83" spans="1:34" ht="15.75">
      <c r="A83" s="552"/>
      <c r="B83" s="584" t="s">
        <v>726</v>
      </c>
      <c r="C83" s="554"/>
      <c r="D83" s="589"/>
      <c r="E83" s="589">
        <v>7285871</v>
      </c>
      <c r="F83" s="554"/>
      <c r="G83" s="554"/>
      <c r="H83" s="570">
        <f t="shared" si="28"/>
        <v>14984.338</v>
      </c>
      <c r="I83" s="604"/>
      <c r="J83" s="604"/>
      <c r="K83" s="570">
        <f>INDEX('[5]BC TT 85'!$A$12:$X$264,MATCH('[5]PL6243'!$B79,'[5]BC TT 85'!$B$12:$B$264,0),5)</f>
        <v>14984.338</v>
      </c>
      <c r="L83" s="571">
        <f t="shared" si="26"/>
        <v>14639.227</v>
      </c>
      <c r="M83" s="571"/>
      <c r="N83" s="571"/>
      <c r="O83" s="571">
        <f>INDEX('[5]BC TT 85'!$A$12:$X$264,MATCH('[5]PL6243'!$B79,'[5]BC TT 85'!$B$12:$B$264,0),24)</f>
        <v>14639.227</v>
      </c>
      <c r="P83" s="571">
        <v>14639.227</v>
      </c>
      <c r="Q83" s="571"/>
      <c r="R83" s="571"/>
      <c r="S83" s="571">
        <v>14639.227</v>
      </c>
      <c r="T83" s="571">
        <v>9.441</v>
      </c>
      <c r="U83" s="571"/>
      <c r="V83" s="571"/>
      <c r="W83" s="571"/>
      <c r="X83" s="572">
        <v>9.441</v>
      </c>
      <c r="Y83" s="572">
        <f t="shared" si="27"/>
        <v>9.441</v>
      </c>
      <c r="Z83" s="572"/>
      <c r="AA83" s="572"/>
      <c r="AB83" s="572"/>
      <c r="AC83" s="572">
        <f>+INDEX('[5]BC TT 85'!$A$12:$X$264,MATCH('[5]PL6243'!$B79,'[5]BC TT 85'!$B$12:$B$264,0),22)</f>
        <v>9.441</v>
      </c>
      <c r="AD83" s="585">
        <f t="shared" si="29"/>
        <v>1</v>
      </c>
      <c r="AE83" s="586"/>
      <c r="AF83" s="586"/>
      <c r="AG83" s="585"/>
      <c r="AH83" s="587">
        <f t="shared" si="30"/>
        <v>1</v>
      </c>
    </row>
    <row r="84" spans="1:34" ht="27">
      <c r="A84" s="552"/>
      <c r="B84" s="584" t="s">
        <v>727</v>
      </c>
      <c r="C84" s="554"/>
      <c r="D84" s="589"/>
      <c r="E84" s="589">
        <v>7426048</v>
      </c>
      <c r="F84" s="554"/>
      <c r="G84" s="554"/>
      <c r="H84" s="570">
        <f t="shared" si="28"/>
        <v>7491.693</v>
      </c>
      <c r="I84" s="604"/>
      <c r="J84" s="604"/>
      <c r="K84" s="570">
        <f>INDEX('[5]BC TT 85'!$A$12:$X$264,MATCH('[5]PL6243'!$B80,'[5]BC TT 85'!$B$12:$B$264,0),5)</f>
        <v>7491.693</v>
      </c>
      <c r="L84" s="571">
        <f t="shared" si="26"/>
        <v>3473.65</v>
      </c>
      <c r="M84" s="571"/>
      <c r="N84" s="571"/>
      <c r="O84" s="571">
        <f>INDEX('[5]BC TT 85'!$A$12:$X$264,MATCH('[5]PL6243'!$B80,'[5]BC TT 85'!$B$12:$B$264,0),24)</f>
        <v>3473.65</v>
      </c>
      <c r="P84" s="571">
        <v>3473.65</v>
      </c>
      <c r="Q84" s="571"/>
      <c r="R84" s="571"/>
      <c r="S84" s="571">
        <v>3473.65</v>
      </c>
      <c r="T84" s="571">
        <v>28.425</v>
      </c>
      <c r="U84" s="571"/>
      <c r="V84" s="571"/>
      <c r="W84" s="571"/>
      <c r="X84" s="572">
        <v>28.425</v>
      </c>
      <c r="Y84" s="572">
        <f t="shared" si="27"/>
        <v>28.425</v>
      </c>
      <c r="Z84" s="572"/>
      <c r="AA84" s="572"/>
      <c r="AB84" s="572"/>
      <c r="AC84" s="572">
        <f>+INDEX('[5]BC TT 85'!$A$12:$X$264,MATCH('[5]PL6243'!$B80,'[5]BC TT 85'!$B$12:$B$264,0),22)</f>
        <v>28.425</v>
      </c>
      <c r="AD84" s="585">
        <f t="shared" si="29"/>
        <v>1</v>
      </c>
      <c r="AE84" s="586"/>
      <c r="AF84" s="586"/>
      <c r="AG84" s="585"/>
      <c r="AH84" s="587">
        <f t="shared" si="30"/>
        <v>1</v>
      </c>
    </row>
    <row r="85" spans="1:34" ht="38.25">
      <c r="A85" s="552"/>
      <c r="B85" s="584" t="s">
        <v>728</v>
      </c>
      <c r="C85" s="554" t="s">
        <v>690</v>
      </c>
      <c r="D85" s="609"/>
      <c r="E85" s="609">
        <v>7513261</v>
      </c>
      <c r="F85" s="554">
        <v>2016</v>
      </c>
      <c r="G85" s="554" t="s">
        <v>786</v>
      </c>
      <c r="H85" s="570">
        <f t="shared" si="28"/>
        <v>1174</v>
      </c>
      <c r="I85" s="604"/>
      <c r="J85" s="604"/>
      <c r="K85" s="570">
        <f>INDEX('[5]BC TT 85'!$A$12:$X$264,MATCH('[5]PL6243'!$B81,'[5]BC TT 85'!$B$12:$B$264,0),5)</f>
        <v>1174</v>
      </c>
      <c r="L85" s="571">
        <f t="shared" si="26"/>
        <v>803.315</v>
      </c>
      <c r="M85" s="571"/>
      <c r="N85" s="571"/>
      <c r="O85" s="571">
        <f>INDEX('[5]BC TT 85'!$A$12:$X$264,MATCH('[5]PL6243'!$B81,'[5]BC TT 85'!$B$12:$B$264,0),24)</f>
        <v>803.315</v>
      </c>
      <c r="P85" s="571">
        <v>803.315</v>
      </c>
      <c r="Q85" s="571"/>
      <c r="R85" s="571"/>
      <c r="S85" s="571">
        <v>803.315</v>
      </c>
      <c r="T85" s="571">
        <v>6.017</v>
      </c>
      <c r="U85" s="571"/>
      <c r="V85" s="571"/>
      <c r="W85" s="571"/>
      <c r="X85" s="572">
        <v>6.017</v>
      </c>
      <c r="Y85" s="572">
        <f t="shared" si="27"/>
        <v>6.017</v>
      </c>
      <c r="Z85" s="572"/>
      <c r="AA85" s="572"/>
      <c r="AB85" s="572"/>
      <c r="AC85" s="572">
        <f>+INDEX('[5]BC TT 85'!$A$12:$X$264,MATCH('[5]PL6243'!$B81,'[5]BC TT 85'!$B$12:$B$264,0),22)</f>
        <v>6.017</v>
      </c>
      <c r="AD85" s="585">
        <f t="shared" si="29"/>
        <v>1</v>
      </c>
      <c r="AE85" s="586"/>
      <c r="AF85" s="586"/>
      <c r="AG85" s="585"/>
      <c r="AH85" s="587">
        <f t="shared" si="30"/>
        <v>1</v>
      </c>
    </row>
    <row r="86" spans="1:34" ht="15.75">
      <c r="A86" s="552"/>
      <c r="B86" s="622" t="s">
        <v>729</v>
      </c>
      <c r="C86" s="554" t="s">
        <v>657</v>
      </c>
      <c r="D86" s="609"/>
      <c r="E86" s="609">
        <v>7464372</v>
      </c>
      <c r="F86" s="554" t="s">
        <v>706</v>
      </c>
      <c r="G86" s="554" t="s">
        <v>730</v>
      </c>
      <c r="H86" s="570">
        <f t="shared" si="28"/>
        <v>7698.18</v>
      </c>
      <c r="I86" s="604"/>
      <c r="J86" s="604"/>
      <c r="K86" s="570">
        <f>INDEX('[5]BC TT 85'!$A$12:$X$264,MATCH('[5]PL6243'!$B82,'[5]BC TT 85'!$B$12:$B$264,0),5)</f>
        <v>7698.18</v>
      </c>
      <c r="L86" s="571">
        <f t="shared" si="26"/>
        <v>5264.373</v>
      </c>
      <c r="M86" s="571"/>
      <c r="N86" s="571"/>
      <c r="O86" s="571">
        <f>INDEX('[5]BC TT 85'!$A$12:$X$264,MATCH('[5]PL6243'!$B82,'[5]BC TT 85'!$B$12:$B$264,0),24)</f>
        <v>5264.373</v>
      </c>
      <c r="P86" s="571">
        <v>5264.373</v>
      </c>
      <c r="Q86" s="571"/>
      <c r="R86" s="571"/>
      <c r="S86" s="571">
        <v>5264.373</v>
      </c>
      <c r="T86" s="571">
        <v>32.664</v>
      </c>
      <c r="U86" s="571"/>
      <c r="V86" s="571"/>
      <c r="W86" s="571"/>
      <c r="X86" s="572">
        <v>32.664</v>
      </c>
      <c r="Y86" s="572">
        <f t="shared" si="27"/>
        <v>32.664</v>
      </c>
      <c r="Z86" s="572"/>
      <c r="AA86" s="572"/>
      <c r="AB86" s="572"/>
      <c r="AC86" s="572">
        <f>+INDEX('[5]BC TT 85'!$A$12:$X$264,MATCH('[5]PL6243'!$B82,'[5]BC TT 85'!$B$12:$B$264,0),22)</f>
        <v>32.664</v>
      </c>
      <c r="AD86" s="585">
        <f t="shared" si="29"/>
        <v>1</v>
      </c>
      <c r="AE86" s="586"/>
      <c r="AF86" s="586"/>
      <c r="AG86" s="585"/>
      <c r="AH86" s="587">
        <f t="shared" si="30"/>
        <v>1</v>
      </c>
    </row>
    <row r="87" spans="1:34" ht="38.25">
      <c r="A87" s="552"/>
      <c r="B87" s="622" t="s">
        <v>731</v>
      </c>
      <c r="C87" s="554" t="s">
        <v>732</v>
      </c>
      <c r="D87" s="609"/>
      <c r="E87" s="609">
        <v>7498685</v>
      </c>
      <c r="F87" s="554" t="s">
        <v>675</v>
      </c>
      <c r="G87" s="554" t="s">
        <v>733</v>
      </c>
      <c r="H87" s="570">
        <f t="shared" si="28"/>
        <v>3670.8921</v>
      </c>
      <c r="I87" s="604"/>
      <c r="J87" s="604"/>
      <c r="K87" s="570">
        <f>INDEX('[5]BC TT 85'!$A$12:$X$264,MATCH('[5]PL6243'!$B83,'[5]BC TT 85'!$B$12:$B$264,0),5)</f>
        <v>3670.8921</v>
      </c>
      <c r="L87" s="571">
        <f t="shared" si="26"/>
        <v>3152.524</v>
      </c>
      <c r="M87" s="571"/>
      <c r="N87" s="571"/>
      <c r="O87" s="571">
        <f>INDEX('[5]BC TT 85'!$A$12:$X$264,MATCH('[5]PL6243'!$B83,'[5]BC TT 85'!$B$12:$B$264,0),24)</f>
        <v>3152.524</v>
      </c>
      <c r="P87" s="571">
        <v>3152.524</v>
      </c>
      <c r="Q87" s="571"/>
      <c r="R87" s="571"/>
      <c r="S87" s="571">
        <v>3152.524</v>
      </c>
      <c r="T87" s="571">
        <v>22.292</v>
      </c>
      <c r="U87" s="571"/>
      <c r="V87" s="571"/>
      <c r="W87" s="571"/>
      <c r="X87" s="572">
        <v>22.292</v>
      </c>
      <c r="Y87" s="572">
        <f t="shared" si="27"/>
        <v>22.292</v>
      </c>
      <c r="Z87" s="572"/>
      <c r="AA87" s="572"/>
      <c r="AB87" s="572"/>
      <c r="AC87" s="572">
        <f>+INDEX('[5]BC TT 85'!$A$12:$X$264,MATCH('[5]PL6243'!$B83,'[5]BC TT 85'!$B$12:$B$264,0),22)</f>
        <v>22.292</v>
      </c>
      <c r="AD87" s="585">
        <f t="shared" si="29"/>
        <v>1</v>
      </c>
      <c r="AE87" s="586"/>
      <c r="AF87" s="586"/>
      <c r="AG87" s="585"/>
      <c r="AH87" s="587">
        <f t="shared" si="30"/>
        <v>1</v>
      </c>
    </row>
    <row r="88" spans="1:34" ht="38.25">
      <c r="A88" s="552"/>
      <c r="B88" s="584" t="s">
        <v>734</v>
      </c>
      <c r="C88" s="554" t="s">
        <v>671</v>
      </c>
      <c r="D88" s="609"/>
      <c r="E88" s="609">
        <v>7477364</v>
      </c>
      <c r="F88" s="554" t="s">
        <v>669</v>
      </c>
      <c r="G88" s="554" t="s">
        <v>735</v>
      </c>
      <c r="H88" s="570">
        <f t="shared" si="28"/>
        <v>25796</v>
      </c>
      <c r="I88" s="604"/>
      <c r="J88" s="604"/>
      <c r="K88" s="570">
        <f>INDEX('[5]BC TT 85'!$A$12:$X$264,MATCH('[5]PL6243'!$B84,'[5]BC TT 85'!$B$12:$B$264,0),5)</f>
        <v>25796</v>
      </c>
      <c r="L88" s="571">
        <f t="shared" si="26"/>
        <v>295.354</v>
      </c>
      <c r="M88" s="571"/>
      <c r="N88" s="571"/>
      <c r="O88" s="571">
        <f>INDEX('[5]BC TT 85'!$A$12:$X$264,MATCH('[5]PL6243'!$B84,'[5]BC TT 85'!$B$12:$B$264,0),24)</f>
        <v>295.354</v>
      </c>
      <c r="P88" s="571">
        <v>295.354</v>
      </c>
      <c r="Q88" s="571"/>
      <c r="R88" s="571"/>
      <c r="S88" s="571">
        <v>295.354</v>
      </c>
      <c r="T88" s="571">
        <v>67.249</v>
      </c>
      <c r="U88" s="571"/>
      <c r="V88" s="571"/>
      <c r="W88" s="571"/>
      <c r="X88" s="572">
        <v>67.249</v>
      </c>
      <c r="Y88" s="572">
        <f t="shared" si="27"/>
        <v>67.249</v>
      </c>
      <c r="Z88" s="572"/>
      <c r="AA88" s="572"/>
      <c r="AB88" s="572"/>
      <c r="AC88" s="572">
        <f>+INDEX('[5]BC TT 85'!$A$12:$X$264,MATCH('[5]PL6243'!$B84,'[5]BC TT 85'!$B$12:$B$264,0),22)</f>
        <v>67.249</v>
      </c>
      <c r="AD88" s="585">
        <f t="shared" si="29"/>
        <v>1</v>
      </c>
      <c r="AE88" s="586"/>
      <c r="AF88" s="586"/>
      <c r="AG88" s="585"/>
      <c r="AH88" s="587">
        <f t="shared" si="30"/>
        <v>1</v>
      </c>
    </row>
    <row r="89" spans="1:34" ht="38.25">
      <c r="A89" s="552"/>
      <c r="B89" s="584" t="s">
        <v>389</v>
      </c>
      <c r="C89" s="554" t="s">
        <v>667</v>
      </c>
      <c r="D89" s="609"/>
      <c r="E89" s="609">
        <v>7589654</v>
      </c>
      <c r="F89" s="554" t="s">
        <v>661</v>
      </c>
      <c r="G89" s="554" t="s">
        <v>736</v>
      </c>
      <c r="H89" s="570">
        <f t="shared" si="28"/>
        <v>4557.782</v>
      </c>
      <c r="I89" s="604"/>
      <c r="J89" s="604"/>
      <c r="K89" s="570">
        <f>INDEX('[5]BC TT 85'!$A$12:$X$264,MATCH('[5]PL6243'!$B85,'[5]BC TT 85'!$B$12:$B$264,0),5)</f>
        <v>4557.782</v>
      </c>
      <c r="L89" s="571">
        <f t="shared" si="26"/>
        <v>4242.1</v>
      </c>
      <c r="M89" s="571"/>
      <c r="N89" s="571"/>
      <c r="O89" s="571">
        <f>INDEX('[5]BC TT 85'!$A$12:$X$264,MATCH('[5]PL6243'!$B85,'[5]BC TT 85'!$B$12:$B$264,0),24)</f>
        <v>4242.1</v>
      </c>
      <c r="P89" s="571">
        <v>4242.1</v>
      </c>
      <c r="Q89" s="571"/>
      <c r="R89" s="571"/>
      <c r="S89" s="571">
        <v>4242.1</v>
      </c>
      <c r="T89" s="571">
        <v>22.094</v>
      </c>
      <c r="U89" s="571"/>
      <c r="V89" s="571"/>
      <c r="W89" s="571"/>
      <c r="X89" s="572">
        <v>22.094</v>
      </c>
      <c r="Y89" s="572">
        <f t="shared" si="27"/>
        <v>22.094</v>
      </c>
      <c r="Z89" s="572"/>
      <c r="AA89" s="572"/>
      <c r="AB89" s="572"/>
      <c r="AC89" s="572">
        <f>+INDEX('[5]BC TT 85'!$A$12:$X$264,MATCH('[5]PL6243'!$B85,'[5]BC TT 85'!$B$12:$B$264,0),22)</f>
        <v>22.094</v>
      </c>
      <c r="AD89" s="585">
        <f t="shared" si="29"/>
        <v>1</v>
      </c>
      <c r="AE89" s="586"/>
      <c r="AF89" s="586"/>
      <c r="AG89" s="585"/>
      <c r="AH89" s="587">
        <f t="shared" si="30"/>
        <v>1</v>
      </c>
    </row>
    <row r="90" spans="1:34" ht="76.5">
      <c r="A90" s="552"/>
      <c r="B90" s="584" t="s">
        <v>342</v>
      </c>
      <c r="C90" s="554" t="s">
        <v>690</v>
      </c>
      <c r="D90" s="609"/>
      <c r="E90" s="609">
        <v>7565726</v>
      </c>
      <c r="F90" s="554" t="s">
        <v>675</v>
      </c>
      <c r="G90" s="554" t="s">
        <v>737</v>
      </c>
      <c r="H90" s="570">
        <f t="shared" si="28"/>
        <v>5832</v>
      </c>
      <c r="I90" s="604"/>
      <c r="J90" s="604"/>
      <c r="K90" s="570">
        <f>INDEX('[5]BC TT 85'!$A$12:$X$264,MATCH('[5]PL6243'!$B86,'[5]BC TT 85'!$B$12:$B$264,0),5)</f>
        <v>5832</v>
      </c>
      <c r="L90" s="571">
        <f t="shared" si="26"/>
        <v>5284.307</v>
      </c>
      <c r="M90" s="571"/>
      <c r="N90" s="571"/>
      <c r="O90" s="571">
        <f>INDEX('[5]BC TT 85'!$A$12:$X$264,MATCH('[5]PL6243'!$B86,'[5]BC TT 85'!$B$12:$B$264,0),24)</f>
        <v>5284.307</v>
      </c>
      <c r="P90" s="571">
        <v>5284.307</v>
      </c>
      <c r="Q90" s="571"/>
      <c r="R90" s="571"/>
      <c r="S90" s="571">
        <v>5284.307</v>
      </c>
      <c r="T90" s="571">
        <v>377.759</v>
      </c>
      <c r="U90" s="571"/>
      <c r="V90" s="571"/>
      <c r="W90" s="571"/>
      <c r="X90" s="572">
        <v>377.759</v>
      </c>
      <c r="Y90" s="572">
        <f t="shared" si="27"/>
        <v>377.759</v>
      </c>
      <c r="Z90" s="572"/>
      <c r="AA90" s="572"/>
      <c r="AB90" s="572"/>
      <c r="AC90" s="572">
        <f>+INDEX('[5]BC TT 85'!$A$12:$X$264,MATCH('[5]PL6243'!$B86,'[5]BC TT 85'!$B$12:$B$264,0),22)</f>
        <v>377.759</v>
      </c>
      <c r="AD90" s="585">
        <f t="shared" si="29"/>
        <v>1</v>
      </c>
      <c r="AE90" s="586"/>
      <c r="AF90" s="586"/>
      <c r="AG90" s="585"/>
      <c r="AH90" s="587">
        <f t="shared" si="30"/>
        <v>1</v>
      </c>
    </row>
    <row r="91" spans="1:34" ht="76.5">
      <c r="A91" s="552"/>
      <c r="B91" s="584" t="s">
        <v>335</v>
      </c>
      <c r="C91" s="554" t="s">
        <v>690</v>
      </c>
      <c r="D91" s="609"/>
      <c r="E91" s="609">
        <v>7557544</v>
      </c>
      <c r="F91" s="554" t="s">
        <v>669</v>
      </c>
      <c r="G91" s="554" t="s">
        <v>738</v>
      </c>
      <c r="H91" s="570">
        <f t="shared" si="28"/>
        <v>2889.367</v>
      </c>
      <c r="I91" s="604"/>
      <c r="J91" s="604"/>
      <c r="K91" s="570">
        <f>INDEX('[5]BC TT 85'!$A$12:$X$264,MATCH('[5]PL6243'!$B87,'[5]BC TT 85'!$B$12:$B$264,0),5)</f>
        <v>2889.367</v>
      </c>
      <c r="L91" s="571">
        <f t="shared" si="26"/>
        <v>1761.0230000000001</v>
      </c>
      <c r="M91" s="571"/>
      <c r="N91" s="571"/>
      <c r="O91" s="571">
        <f>INDEX('[5]BC TT 85'!$A$12:$X$264,MATCH('[5]PL6243'!$B87,'[5]BC TT 85'!$B$12:$B$264,0),24)</f>
        <v>1761.0230000000001</v>
      </c>
      <c r="P91" s="571">
        <v>1761.0230000000001</v>
      </c>
      <c r="Q91" s="571"/>
      <c r="R91" s="571"/>
      <c r="S91" s="571">
        <v>1761.0230000000001</v>
      </c>
      <c r="T91" s="571">
        <v>6.381</v>
      </c>
      <c r="U91" s="571"/>
      <c r="V91" s="571"/>
      <c r="W91" s="571"/>
      <c r="X91" s="572">
        <v>6.381</v>
      </c>
      <c r="Y91" s="572">
        <f t="shared" si="27"/>
        <v>6.381</v>
      </c>
      <c r="Z91" s="572"/>
      <c r="AA91" s="572"/>
      <c r="AB91" s="572"/>
      <c r="AC91" s="572">
        <f>+INDEX('[5]BC TT 85'!$A$12:$X$264,MATCH('[5]PL6243'!$B87,'[5]BC TT 85'!$B$12:$B$264,0),22)</f>
        <v>6.381</v>
      </c>
      <c r="AD91" s="585">
        <f t="shared" si="29"/>
        <v>1</v>
      </c>
      <c r="AE91" s="586"/>
      <c r="AF91" s="586"/>
      <c r="AG91" s="585"/>
      <c r="AH91" s="587">
        <f t="shared" si="30"/>
        <v>1</v>
      </c>
    </row>
    <row r="92" spans="1:34" ht="76.5">
      <c r="A92" s="552"/>
      <c r="B92" s="584" t="s">
        <v>340</v>
      </c>
      <c r="C92" s="554" t="s">
        <v>671</v>
      </c>
      <c r="D92" s="609"/>
      <c r="E92" s="609">
        <v>7565466</v>
      </c>
      <c r="F92" s="554" t="s">
        <v>669</v>
      </c>
      <c r="G92" s="554" t="s">
        <v>739</v>
      </c>
      <c r="H92" s="570">
        <f t="shared" si="28"/>
        <v>1118.959</v>
      </c>
      <c r="I92" s="604"/>
      <c r="J92" s="604"/>
      <c r="K92" s="570">
        <f>INDEX('[5]BC TT 85'!$A$12:$X$264,MATCH('[5]PL6243'!$B88,'[5]BC TT 85'!$B$12:$B$264,0),5)</f>
        <v>1118.959</v>
      </c>
      <c r="L92" s="571">
        <f t="shared" si="26"/>
        <v>1065.842</v>
      </c>
      <c r="M92" s="571"/>
      <c r="N92" s="571"/>
      <c r="O92" s="571">
        <f>INDEX('[5]BC TT 85'!$A$12:$X$264,MATCH('[5]PL6243'!$B88,'[5]BC TT 85'!$B$12:$B$264,0),24)</f>
        <v>1065.842</v>
      </c>
      <c r="P92" s="571">
        <v>1065.842</v>
      </c>
      <c r="Q92" s="571"/>
      <c r="R92" s="571"/>
      <c r="S92" s="571">
        <v>1065.842</v>
      </c>
      <c r="T92" s="571">
        <v>3.968</v>
      </c>
      <c r="U92" s="571"/>
      <c r="V92" s="571"/>
      <c r="W92" s="571"/>
      <c r="X92" s="572">
        <v>3.968</v>
      </c>
      <c r="Y92" s="572">
        <f t="shared" si="27"/>
        <v>3.968</v>
      </c>
      <c r="Z92" s="572"/>
      <c r="AA92" s="572"/>
      <c r="AB92" s="572"/>
      <c r="AC92" s="572">
        <f>+INDEX('[5]BC TT 85'!$A$12:$X$264,MATCH('[5]PL6243'!$B88,'[5]BC TT 85'!$B$12:$B$264,0),22)</f>
        <v>3.968</v>
      </c>
      <c r="AD92" s="585">
        <f t="shared" si="29"/>
        <v>1</v>
      </c>
      <c r="AE92" s="586"/>
      <c r="AF92" s="586"/>
      <c r="AG92" s="585"/>
      <c r="AH92" s="587">
        <f t="shared" si="30"/>
        <v>1</v>
      </c>
    </row>
    <row r="93" spans="1:34" ht="15.75">
      <c r="A93" s="552"/>
      <c r="B93" s="584" t="s">
        <v>740</v>
      </c>
      <c r="C93" s="554" t="s">
        <v>690</v>
      </c>
      <c r="D93" s="609"/>
      <c r="E93" s="609">
        <v>7431808</v>
      </c>
      <c r="F93" s="554"/>
      <c r="G93" s="554"/>
      <c r="H93" s="570">
        <f t="shared" si="28"/>
        <v>7924.031</v>
      </c>
      <c r="I93" s="604"/>
      <c r="J93" s="604"/>
      <c r="K93" s="570">
        <f>INDEX('[5]BC TT 85'!$A$12:$X$264,MATCH('[5]PL6243'!$B89,'[5]BC TT 85'!$B$12:$B$264,0),5)</f>
        <v>7924.031</v>
      </c>
      <c r="L93" s="571">
        <f t="shared" si="26"/>
        <v>4146.402</v>
      </c>
      <c r="M93" s="571"/>
      <c r="N93" s="571"/>
      <c r="O93" s="571">
        <f>INDEX('[5]BC TT 85'!$A$12:$X$264,MATCH('[5]PL6243'!$B89,'[5]BC TT 85'!$B$12:$B$264,0),24)</f>
        <v>4146.402</v>
      </c>
      <c r="P93" s="571">
        <v>4146.402</v>
      </c>
      <c r="Q93" s="571"/>
      <c r="R93" s="571"/>
      <c r="S93" s="571">
        <v>4146.402</v>
      </c>
      <c r="T93" s="571">
        <v>38.937</v>
      </c>
      <c r="U93" s="571"/>
      <c r="V93" s="571"/>
      <c r="W93" s="571"/>
      <c r="X93" s="572">
        <v>38.937</v>
      </c>
      <c r="Y93" s="572">
        <f t="shared" si="27"/>
        <v>38.937</v>
      </c>
      <c r="Z93" s="572"/>
      <c r="AA93" s="572"/>
      <c r="AB93" s="572"/>
      <c r="AC93" s="572">
        <f>+INDEX('[5]BC TT 85'!$A$12:$X$264,MATCH('[5]PL6243'!$B89,'[5]BC TT 85'!$B$12:$B$264,0),22)</f>
        <v>38.937</v>
      </c>
      <c r="AD93" s="585">
        <f t="shared" si="29"/>
        <v>1</v>
      </c>
      <c r="AE93" s="586"/>
      <c r="AF93" s="586"/>
      <c r="AG93" s="585"/>
      <c r="AH93" s="587">
        <f t="shared" si="30"/>
        <v>1</v>
      </c>
    </row>
    <row r="94" spans="1:34" ht="76.5">
      <c r="A94" s="552"/>
      <c r="B94" s="584" t="s">
        <v>341</v>
      </c>
      <c r="C94" s="554" t="s">
        <v>671</v>
      </c>
      <c r="D94" s="609"/>
      <c r="E94" s="609">
        <v>7565471</v>
      </c>
      <c r="F94" s="554" t="s">
        <v>669</v>
      </c>
      <c r="G94" s="554" t="s">
        <v>741</v>
      </c>
      <c r="H94" s="570">
        <f t="shared" si="28"/>
        <v>2779.304</v>
      </c>
      <c r="I94" s="604"/>
      <c r="J94" s="604"/>
      <c r="K94" s="570">
        <f>INDEX('[5]BC TT 85'!$A$12:$X$264,MATCH('[5]PL6243'!$B90,'[5]BC TT 85'!$B$12:$B$264,0),5)</f>
        <v>2779.304</v>
      </c>
      <c r="L94" s="571">
        <f t="shared" si="26"/>
        <v>2437.06</v>
      </c>
      <c r="M94" s="571"/>
      <c r="N94" s="571"/>
      <c r="O94" s="571">
        <f>INDEX('[5]BC TT 85'!$A$12:$X$264,MATCH('[5]PL6243'!$B90,'[5]BC TT 85'!$B$12:$B$264,0),24)</f>
        <v>2437.06</v>
      </c>
      <c r="P94" s="571">
        <v>2437.06</v>
      </c>
      <c r="Q94" s="571"/>
      <c r="R94" s="571"/>
      <c r="S94" s="571">
        <v>2437.06</v>
      </c>
      <c r="T94" s="571">
        <v>6.178</v>
      </c>
      <c r="U94" s="571"/>
      <c r="V94" s="571"/>
      <c r="W94" s="571"/>
      <c r="X94" s="572">
        <v>6.178</v>
      </c>
      <c r="Y94" s="572">
        <f t="shared" si="27"/>
        <v>6.178</v>
      </c>
      <c r="Z94" s="572"/>
      <c r="AA94" s="572"/>
      <c r="AB94" s="572"/>
      <c r="AC94" s="572">
        <f>+INDEX('[5]BC TT 85'!$A$12:$X$264,MATCH('[5]PL6243'!$B90,'[5]BC TT 85'!$B$12:$B$264,0),22)</f>
        <v>6.178</v>
      </c>
      <c r="AD94" s="585">
        <f t="shared" si="29"/>
        <v>1</v>
      </c>
      <c r="AE94" s="586"/>
      <c r="AF94" s="586"/>
      <c r="AG94" s="585"/>
      <c r="AH94" s="587">
        <f t="shared" si="30"/>
        <v>1</v>
      </c>
    </row>
    <row r="95" spans="1:34" ht="76.5">
      <c r="A95" s="552"/>
      <c r="B95" s="584" t="s">
        <v>339</v>
      </c>
      <c r="C95" s="554"/>
      <c r="D95" s="609"/>
      <c r="E95" s="609">
        <v>7565464</v>
      </c>
      <c r="F95" s="554" t="s">
        <v>669</v>
      </c>
      <c r="G95" s="554" t="s">
        <v>742</v>
      </c>
      <c r="H95" s="570">
        <f t="shared" si="28"/>
        <v>2244.86</v>
      </c>
      <c r="I95" s="604"/>
      <c r="J95" s="604"/>
      <c r="K95" s="570">
        <f>INDEX('[5]BC TT 85'!$A$12:$X$264,MATCH('[5]PL6243'!$B91,'[5]BC TT 85'!$B$12:$B$264,0),5)</f>
        <v>2244.86</v>
      </c>
      <c r="L95" s="571">
        <f t="shared" si="26"/>
        <v>2045.859</v>
      </c>
      <c r="M95" s="571"/>
      <c r="N95" s="571"/>
      <c r="O95" s="571">
        <f>INDEX('[5]BC TT 85'!$A$12:$X$264,MATCH('[5]PL6243'!$B91,'[5]BC TT 85'!$B$12:$B$264,0),24)</f>
        <v>2045.859</v>
      </c>
      <c r="P95" s="571">
        <v>2045.859</v>
      </c>
      <c r="Q95" s="571"/>
      <c r="R95" s="571"/>
      <c r="S95" s="571">
        <v>2045.859</v>
      </c>
      <c r="T95" s="571">
        <v>9.192</v>
      </c>
      <c r="U95" s="571"/>
      <c r="V95" s="571"/>
      <c r="W95" s="571"/>
      <c r="X95" s="572">
        <v>9.192</v>
      </c>
      <c r="Y95" s="572">
        <f t="shared" si="27"/>
        <v>9.192</v>
      </c>
      <c r="Z95" s="572"/>
      <c r="AA95" s="572"/>
      <c r="AB95" s="572"/>
      <c r="AC95" s="572">
        <f>+INDEX('[5]BC TT 85'!$A$12:$X$264,MATCH('[5]PL6243'!$B91,'[5]BC TT 85'!$B$12:$B$264,0),22)</f>
        <v>9.192</v>
      </c>
      <c r="AD95" s="585">
        <f t="shared" si="29"/>
        <v>1</v>
      </c>
      <c r="AE95" s="586"/>
      <c r="AF95" s="586"/>
      <c r="AG95" s="585"/>
      <c r="AH95" s="587">
        <f t="shared" si="30"/>
        <v>1</v>
      </c>
    </row>
    <row r="96" spans="1:34" ht="76.5">
      <c r="A96" s="552"/>
      <c r="B96" s="584" t="s">
        <v>743</v>
      </c>
      <c r="C96" s="554" t="s">
        <v>657</v>
      </c>
      <c r="D96" s="609"/>
      <c r="E96" s="609">
        <v>7003702</v>
      </c>
      <c r="F96" s="554" t="s">
        <v>744</v>
      </c>
      <c r="G96" s="554" t="s">
        <v>745</v>
      </c>
      <c r="H96" s="570">
        <f t="shared" si="28"/>
        <v>44760.376</v>
      </c>
      <c r="I96" s="604"/>
      <c r="J96" s="604"/>
      <c r="K96" s="570">
        <f>INDEX('[5]BC TT 85'!$A$12:$X$264,MATCH('[5]PL6243'!$B92,'[5]BC TT 85'!$B$12:$B$264,0),5)</f>
        <v>44760.376</v>
      </c>
      <c r="L96" s="571">
        <f t="shared" si="26"/>
        <v>42423.981</v>
      </c>
      <c r="M96" s="571"/>
      <c r="N96" s="571"/>
      <c r="O96" s="571">
        <f>INDEX('[5]BC TT 85'!$A$12:$X$264,MATCH('[5]PL6243'!$B92,'[5]BC TT 85'!$B$12:$B$264,0),24)</f>
        <v>42423.981</v>
      </c>
      <c r="P96" s="571">
        <v>42423.981</v>
      </c>
      <c r="Q96" s="571"/>
      <c r="R96" s="571"/>
      <c r="S96" s="571">
        <v>42423.981</v>
      </c>
      <c r="T96" s="571">
        <v>90.566</v>
      </c>
      <c r="U96" s="571"/>
      <c r="V96" s="571"/>
      <c r="W96" s="571"/>
      <c r="X96" s="572">
        <v>90.566</v>
      </c>
      <c r="Y96" s="572">
        <f t="shared" si="27"/>
        <v>90.566</v>
      </c>
      <c r="Z96" s="572"/>
      <c r="AA96" s="572"/>
      <c r="AB96" s="572"/>
      <c r="AC96" s="572">
        <f>+INDEX('[5]BC TT 85'!$A$12:$X$264,MATCH('[5]PL6243'!$B92,'[5]BC TT 85'!$B$12:$B$264,0),22)</f>
        <v>90.566</v>
      </c>
      <c r="AD96" s="585">
        <f t="shared" si="29"/>
        <v>1</v>
      </c>
      <c r="AE96" s="586"/>
      <c r="AF96" s="586"/>
      <c r="AG96" s="585"/>
      <c r="AH96" s="587">
        <f t="shared" si="30"/>
        <v>1</v>
      </c>
    </row>
    <row r="97" spans="1:34" ht="27">
      <c r="A97" s="552"/>
      <c r="B97" s="584" t="s">
        <v>746</v>
      </c>
      <c r="C97" s="554"/>
      <c r="D97" s="609"/>
      <c r="E97" s="609">
        <v>7003798</v>
      </c>
      <c r="F97" s="554"/>
      <c r="G97" s="554"/>
      <c r="H97" s="570">
        <f t="shared" si="28"/>
        <v>100048.741</v>
      </c>
      <c r="I97" s="604"/>
      <c r="J97" s="604"/>
      <c r="K97" s="570">
        <f>INDEX('[5]BC TT 85'!$A$12:$X$264,MATCH('[5]PL6243'!$B93,'[5]BC TT 85'!$B$12:$B$264,0),5)</f>
        <v>100048.741</v>
      </c>
      <c r="L97" s="571">
        <f t="shared" si="26"/>
        <v>96713.20300000001</v>
      </c>
      <c r="M97" s="571"/>
      <c r="N97" s="571"/>
      <c r="O97" s="571">
        <f>INDEX('[5]BC TT 85'!$A$12:$X$264,MATCH('[5]PL6243'!$B93,'[5]BC TT 85'!$B$12:$B$264,0),24)</f>
        <v>96713.20300000001</v>
      </c>
      <c r="P97" s="571">
        <v>96713.20300000001</v>
      </c>
      <c r="Q97" s="571"/>
      <c r="R97" s="571"/>
      <c r="S97" s="571">
        <v>96713.20300000001</v>
      </c>
      <c r="T97" s="571">
        <v>120.508</v>
      </c>
      <c r="U97" s="571"/>
      <c r="V97" s="571"/>
      <c r="W97" s="571"/>
      <c r="X97" s="572">
        <v>120.508</v>
      </c>
      <c r="Y97" s="572">
        <f t="shared" si="27"/>
        <v>120.508</v>
      </c>
      <c r="Z97" s="572"/>
      <c r="AA97" s="572"/>
      <c r="AB97" s="572"/>
      <c r="AC97" s="572">
        <f>+INDEX('[5]BC TT 85'!$A$12:$X$264,MATCH('[5]PL6243'!$B93,'[5]BC TT 85'!$B$12:$B$264,0),22)</f>
        <v>120.508</v>
      </c>
      <c r="AD97" s="585">
        <f t="shared" si="29"/>
        <v>1</v>
      </c>
      <c r="AE97" s="586"/>
      <c r="AF97" s="586"/>
      <c r="AG97" s="585"/>
      <c r="AH97" s="587">
        <f t="shared" si="30"/>
        <v>1</v>
      </c>
    </row>
    <row r="98" spans="1:34" s="603" customFormat="1" ht="15.75">
      <c r="A98" s="565"/>
      <c r="B98" s="610" t="s">
        <v>241</v>
      </c>
      <c r="C98" s="599"/>
      <c r="D98" s="600"/>
      <c r="E98" s="600"/>
      <c r="F98" s="600"/>
      <c r="G98" s="600"/>
      <c r="H98" s="611"/>
      <c r="I98" s="611"/>
      <c r="J98" s="611"/>
      <c r="K98" s="611"/>
      <c r="L98" s="594"/>
      <c r="M98" s="594"/>
      <c r="N98" s="594"/>
      <c r="O98" s="594"/>
      <c r="P98" s="571">
        <v>12.927</v>
      </c>
      <c r="Q98" s="595"/>
      <c r="R98" s="595"/>
      <c r="S98" s="591">
        <v>12.927</v>
      </c>
      <c r="T98" s="591">
        <v>12.927</v>
      </c>
      <c r="U98" s="591"/>
      <c r="V98" s="591"/>
      <c r="W98" s="591"/>
      <c r="X98" s="591">
        <v>12.927</v>
      </c>
      <c r="Y98" s="601"/>
      <c r="Z98" s="606"/>
      <c r="AA98" s="606"/>
      <c r="AB98" s="606"/>
      <c r="AC98" s="595"/>
      <c r="AD98" s="547"/>
      <c r="AE98" s="559"/>
      <c r="AF98" s="559"/>
      <c r="AG98" s="547"/>
      <c r="AH98" s="550"/>
    </row>
    <row r="99" spans="1:34" s="603" customFormat="1" ht="15.75">
      <c r="A99" s="565"/>
      <c r="B99" s="610" t="s">
        <v>370</v>
      </c>
      <c r="C99" s="599"/>
      <c r="D99" s="600"/>
      <c r="E99" s="600"/>
      <c r="F99" s="600"/>
      <c r="G99" s="600"/>
      <c r="H99" s="611"/>
      <c r="I99" s="611"/>
      <c r="J99" s="611"/>
      <c r="K99" s="611"/>
      <c r="L99" s="594"/>
      <c r="M99" s="594"/>
      <c r="N99" s="594"/>
      <c r="O99" s="594"/>
      <c r="P99" s="595"/>
      <c r="Q99" s="595"/>
      <c r="R99" s="595"/>
      <c r="S99" s="595"/>
      <c r="T99" s="612"/>
      <c r="U99" s="612"/>
      <c r="V99" s="612"/>
      <c r="W99" s="612"/>
      <c r="X99" s="612"/>
      <c r="Y99" s="601"/>
      <c r="Z99" s="606"/>
      <c r="AA99" s="606"/>
      <c r="AB99" s="606"/>
      <c r="AC99" s="595"/>
      <c r="AD99" s="547"/>
      <c r="AE99" s="559"/>
      <c r="AF99" s="559"/>
      <c r="AG99" s="547"/>
      <c r="AH99" s="550"/>
    </row>
    <row r="100" spans="1:34" ht="15.75">
      <c r="A100" s="552" t="s">
        <v>25</v>
      </c>
      <c r="B100" s="561" t="s">
        <v>371</v>
      </c>
      <c r="C100" s="588"/>
      <c r="D100" s="589"/>
      <c r="E100" s="589"/>
      <c r="F100" s="589"/>
      <c r="G100" s="589"/>
      <c r="H100" s="590"/>
      <c r="I100" s="590"/>
      <c r="J100" s="590"/>
      <c r="K100" s="590"/>
      <c r="L100" s="591"/>
      <c r="M100" s="591"/>
      <c r="N100" s="591"/>
      <c r="O100" s="591"/>
      <c r="P100" s="591"/>
      <c r="Q100" s="591"/>
      <c r="R100" s="591"/>
      <c r="S100" s="591"/>
      <c r="T100" s="590"/>
      <c r="U100" s="590"/>
      <c r="V100" s="590"/>
      <c r="W100" s="590"/>
      <c r="X100" s="590"/>
      <c r="Y100" s="592"/>
      <c r="Z100" s="605"/>
      <c r="AA100" s="605"/>
      <c r="AB100" s="605"/>
      <c r="AC100" s="591"/>
      <c r="AD100" s="585"/>
      <c r="AE100" s="586"/>
      <c r="AF100" s="586"/>
      <c r="AG100" s="585"/>
      <c r="AH100" s="587"/>
    </row>
    <row r="101" spans="1:34" ht="15.75">
      <c r="A101" s="623">
        <v>1</v>
      </c>
      <c r="B101" s="624" t="s">
        <v>372</v>
      </c>
      <c r="C101" s="588"/>
      <c r="D101" s="589"/>
      <c r="E101" s="589"/>
      <c r="F101" s="589"/>
      <c r="G101" s="589"/>
      <c r="H101" s="590"/>
      <c r="I101" s="590"/>
      <c r="J101" s="590"/>
      <c r="K101" s="590"/>
      <c r="L101" s="591"/>
      <c r="M101" s="591"/>
      <c r="N101" s="591"/>
      <c r="O101" s="591"/>
      <c r="P101" s="591"/>
      <c r="Q101" s="591"/>
      <c r="R101" s="591"/>
      <c r="S101" s="591"/>
      <c r="T101" s="590"/>
      <c r="U101" s="590"/>
      <c r="V101" s="590"/>
      <c r="W101" s="590"/>
      <c r="X101" s="590"/>
      <c r="Y101" s="592"/>
      <c r="Z101" s="605"/>
      <c r="AA101" s="605"/>
      <c r="AB101" s="605"/>
      <c r="AC101" s="605"/>
      <c r="AD101" s="585"/>
      <c r="AE101" s="586"/>
      <c r="AF101" s="586"/>
      <c r="AG101" s="585"/>
      <c r="AH101" s="587"/>
    </row>
    <row r="102" spans="1:34" ht="15.75">
      <c r="A102" s="552"/>
      <c r="B102" s="625" t="s">
        <v>373</v>
      </c>
      <c r="C102" s="588"/>
      <c r="D102" s="589"/>
      <c r="E102" s="589"/>
      <c r="F102" s="589"/>
      <c r="G102" s="589"/>
      <c r="H102" s="590"/>
      <c r="I102" s="590"/>
      <c r="J102" s="590"/>
      <c r="K102" s="590"/>
      <c r="L102" s="591"/>
      <c r="M102" s="591"/>
      <c r="N102" s="591"/>
      <c r="O102" s="591"/>
      <c r="P102" s="591"/>
      <c r="Q102" s="591"/>
      <c r="R102" s="591"/>
      <c r="S102" s="591"/>
      <c r="T102" s="590"/>
      <c r="U102" s="590"/>
      <c r="V102" s="590"/>
      <c r="W102" s="590"/>
      <c r="X102" s="590"/>
      <c r="Y102" s="592"/>
      <c r="Z102" s="605"/>
      <c r="AA102" s="605"/>
      <c r="AB102" s="605"/>
      <c r="AC102" s="605"/>
      <c r="AD102" s="585"/>
      <c r="AE102" s="586"/>
      <c r="AF102" s="586"/>
      <c r="AG102" s="585"/>
      <c r="AH102" s="587"/>
    </row>
    <row r="103" spans="1:34" ht="15.75">
      <c r="A103" s="552" t="s">
        <v>28</v>
      </c>
      <c r="B103" s="561" t="s">
        <v>374</v>
      </c>
      <c r="C103" s="588"/>
      <c r="D103" s="589"/>
      <c r="E103" s="589"/>
      <c r="F103" s="589"/>
      <c r="G103" s="589"/>
      <c r="H103" s="590"/>
      <c r="I103" s="590"/>
      <c r="J103" s="590"/>
      <c r="K103" s="590"/>
      <c r="L103" s="591"/>
      <c r="M103" s="591"/>
      <c r="N103" s="591"/>
      <c r="O103" s="591"/>
      <c r="P103" s="591"/>
      <c r="Q103" s="591"/>
      <c r="R103" s="591"/>
      <c r="S103" s="591"/>
      <c r="T103" s="590"/>
      <c r="U103" s="590"/>
      <c r="V103" s="590"/>
      <c r="W103" s="590"/>
      <c r="X103" s="590"/>
      <c r="Y103" s="592"/>
      <c r="Z103" s="605"/>
      <c r="AA103" s="605"/>
      <c r="AB103" s="605"/>
      <c r="AC103" s="605"/>
      <c r="AD103" s="585"/>
      <c r="AE103" s="586"/>
      <c r="AF103" s="586"/>
      <c r="AG103" s="585"/>
      <c r="AH103" s="587"/>
    </row>
    <row r="104" spans="1:34" ht="15.75">
      <c r="A104" s="623">
        <v>1</v>
      </c>
      <c r="B104" s="624" t="s">
        <v>375</v>
      </c>
      <c r="C104" s="588"/>
      <c r="D104" s="589"/>
      <c r="E104" s="589"/>
      <c r="F104" s="589"/>
      <c r="G104" s="589"/>
      <c r="H104" s="590"/>
      <c r="I104" s="590"/>
      <c r="J104" s="590"/>
      <c r="K104" s="590"/>
      <c r="L104" s="591"/>
      <c r="M104" s="591"/>
      <c r="N104" s="591"/>
      <c r="O104" s="591"/>
      <c r="P104" s="591"/>
      <c r="Q104" s="591"/>
      <c r="R104" s="591"/>
      <c r="S104" s="591"/>
      <c r="T104" s="590"/>
      <c r="U104" s="590"/>
      <c r="V104" s="590"/>
      <c r="W104" s="590"/>
      <c r="X104" s="590"/>
      <c r="Y104" s="592"/>
      <c r="Z104" s="605"/>
      <c r="AA104" s="605"/>
      <c r="AB104" s="605"/>
      <c r="AC104" s="605"/>
      <c r="AD104" s="585"/>
      <c r="AE104" s="586"/>
      <c r="AF104" s="586"/>
      <c r="AG104" s="585"/>
      <c r="AH104" s="587"/>
    </row>
    <row r="105" spans="1:34" ht="15.75">
      <c r="A105" s="552"/>
      <c r="B105" s="625" t="s">
        <v>373</v>
      </c>
      <c r="C105" s="588"/>
      <c r="D105" s="589"/>
      <c r="E105" s="589"/>
      <c r="F105" s="589"/>
      <c r="G105" s="589"/>
      <c r="H105" s="590"/>
      <c r="I105" s="590"/>
      <c r="J105" s="590"/>
      <c r="K105" s="590"/>
      <c r="L105" s="591"/>
      <c r="M105" s="591"/>
      <c r="N105" s="591"/>
      <c r="O105" s="591"/>
      <c r="P105" s="591"/>
      <c r="Q105" s="591"/>
      <c r="R105" s="591"/>
      <c r="S105" s="591"/>
      <c r="T105" s="590"/>
      <c r="U105" s="590"/>
      <c r="V105" s="590"/>
      <c r="W105" s="590"/>
      <c r="X105" s="590"/>
      <c r="Y105" s="592"/>
      <c r="Z105" s="605"/>
      <c r="AA105" s="605"/>
      <c r="AB105" s="605"/>
      <c r="AC105" s="605"/>
      <c r="AD105" s="585"/>
      <c r="AE105" s="586"/>
      <c r="AF105" s="586"/>
      <c r="AG105" s="585"/>
      <c r="AH105" s="587"/>
    </row>
    <row r="106" spans="1:34" ht="27">
      <c r="A106" s="552" t="s">
        <v>30</v>
      </c>
      <c r="B106" s="561" t="s">
        <v>376</v>
      </c>
      <c r="C106" s="588"/>
      <c r="D106" s="589"/>
      <c r="E106" s="589"/>
      <c r="F106" s="589"/>
      <c r="G106" s="589"/>
      <c r="H106" s="611">
        <f>H107+H120</f>
        <v>369283.01399999997</v>
      </c>
      <c r="I106" s="611">
        <f aca="true" t="shared" si="31" ref="I106:N106">I107+I120</f>
        <v>0</v>
      </c>
      <c r="J106" s="611">
        <f t="shared" si="31"/>
        <v>0</v>
      </c>
      <c r="K106" s="611">
        <f t="shared" si="31"/>
        <v>369283.01399999997</v>
      </c>
      <c r="L106" s="594">
        <f t="shared" si="31"/>
        <v>106160.61899999999</v>
      </c>
      <c r="M106" s="594">
        <f t="shared" si="31"/>
        <v>0</v>
      </c>
      <c r="N106" s="594">
        <f t="shared" si="31"/>
        <v>0</v>
      </c>
      <c r="O106" s="594">
        <f>O107+O120+O147</f>
        <v>106160.61899999999</v>
      </c>
      <c r="P106" s="595">
        <v>113601.92899999999</v>
      </c>
      <c r="Q106" s="595">
        <v>0</v>
      </c>
      <c r="R106" s="595">
        <v>0</v>
      </c>
      <c r="S106" s="595">
        <v>113601.92899999999</v>
      </c>
      <c r="T106" s="595">
        <v>69403.448</v>
      </c>
      <c r="U106" s="595">
        <v>0</v>
      </c>
      <c r="V106" s="595">
        <v>0</v>
      </c>
      <c r="W106" s="595">
        <v>0</v>
      </c>
      <c r="X106" s="595">
        <v>69403.448</v>
      </c>
      <c r="Y106" s="601">
        <f>Y107+Y120+Y147</f>
        <v>59263.024</v>
      </c>
      <c r="Z106" s="606">
        <f>Z107+Z120+Z147</f>
        <v>0</v>
      </c>
      <c r="AA106" s="606">
        <f>AA107+AA120+AA147</f>
        <v>0</v>
      </c>
      <c r="AB106" s="606">
        <f>AB107+AB120+AB147</f>
        <v>0</v>
      </c>
      <c r="AC106" s="595">
        <f>AC107+AC120+AC147</f>
        <v>59263.024</v>
      </c>
      <c r="AD106" s="596">
        <f>Y106/T106</f>
        <v>0.8538916395047116</v>
      </c>
      <c r="AE106" s="597"/>
      <c r="AF106" s="597"/>
      <c r="AG106" s="596"/>
      <c r="AH106" s="598">
        <f>AC106/X106</f>
        <v>0.8538916395047116</v>
      </c>
    </row>
    <row r="107" spans="1:34" ht="15.75">
      <c r="A107" s="552"/>
      <c r="B107" s="561" t="s">
        <v>298</v>
      </c>
      <c r="C107" s="588"/>
      <c r="D107" s="589"/>
      <c r="E107" s="589"/>
      <c r="F107" s="589"/>
      <c r="G107" s="589"/>
      <c r="H107" s="611">
        <f>H108+H110+H112+H113+H114+H115+H116+H117+H118+H119</f>
        <v>82608</v>
      </c>
      <c r="I107" s="611">
        <f aca="true" t="shared" si="32" ref="I107:AC107">I108+I110+I112+I113+I114+I115+I116+I117+I118+I119</f>
        <v>0</v>
      </c>
      <c r="J107" s="611">
        <f t="shared" si="32"/>
        <v>0</v>
      </c>
      <c r="K107" s="611">
        <f t="shared" si="32"/>
        <v>82608</v>
      </c>
      <c r="L107" s="594">
        <f t="shared" si="32"/>
        <v>395.05600000000004</v>
      </c>
      <c r="M107" s="594">
        <f t="shared" si="32"/>
        <v>0</v>
      </c>
      <c r="N107" s="594">
        <f t="shared" si="32"/>
        <v>0</v>
      </c>
      <c r="O107" s="594">
        <f t="shared" si="32"/>
        <v>395.05600000000004</v>
      </c>
      <c r="P107" s="595">
        <v>395.05899999999997</v>
      </c>
      <c r="Q107" s="595">
        <v>0</v>
      </c>
      <c r="R107" s="595">
        <v>0</v>
      </c>
      <c r="S107" s="595">
        <v>395.05899999999997</v>
      </c>
      <c r="T107" s="595">
        <v>328</v>
      </c>
      <c r="U107" s="595">
        <v>0</v>
      </c>
      <c r="V107" s="595">
        <v>0</v>
      </c>
      <c r="W107" s="595">
        <v>0</v>
      </c>
      <c r="X107" s="595">
        <v>328</v>
      </c>
      <c r="Y107" s="601">
        <f t="shared" si="32"/>
        <v>327.997</v>
      </c>
      <c r="Z107" s="606">
        <f t="shared" si="32"/>
        <v>0</v>
      </c>
      <c r="AA107" s="606">
        <f t="shared" si="32"/>
        <v>0</v>
      </c>
      <c r="AB107" s="606">
        <f t="shared" si="32"/>
        <v>0</v>
      </c>
      <c r="AC107" s="595">
        <f t="shared" si="32"/>
        <v>327.997</v>
      </c>
      <c r="AD107" s="596">
        <f>Y107/T107</f>
        <v>0.9999908536585367</v>
      </c>
      <c r="AE107" s="597"/>
      <c r="AF107" s="597"/>
      <c r="AG107" s="596"/>
      <c r="AH107" s="598">
        <f>AC107/X107</f>
        <v>0.9999908536585367</v>
      </c>
    </row>
    <row r="108" spans="1:34" ht="15.75">
      <c r="A108" s="552"/>
      <c r="B108" s="569" t="s">
        <v>299</v>
      </c>
      <c r="C108" s="588"/>
      <c r="D108" s="589"/>
      <c r="E108" s="589"/>
      <c r="F108" s="589"/>
      <c r="G108" s="589"/>
      <c r="H108" s="611">
        <f>H109</f>
        <v>82608</v>
      </c>
      <c r="I108" s="611">
        <f aca="true" t="shared" si="33" ref="I108:AC108">I109</f>
        <v>0</v>
      </c>
      <c r="J108" s="611">
        <f t="shared" si="33"/>
        <v>0</v>
      </c>
      <c r="K108" s="611">
        <f t="shared" si="33"/>
        <v>82608</v>
      </c>
      <c r="L108" s="594">
        <f t="shared" si="33"/>
        <v>395.05600000000004</v>
      </c>
      <c r="M108" s="594">
        <f t="shared" si="33"/>
        <v>0</v>
      </c>
      <c r="N108" s="594">
        <f t="shared" si="33"/>
        <v>0</v>
      </c>
      <c r="O108" s="594">
        <f t="shared" si="33"/>
        <v>395.05600000000004</v>
      </c>
      <c r="P108" s="594">
        <v>395.05899999999997</v>
      </c>
      <c r="Q108" s="594">
        <v>0</v>
      </c>
      <c r="R108" s="594">
        <v>0</v>
      </c>
      <c r="S108" s="594">
        <v>395.05899999999997</v>
      </c>
      <c r="T108" s="594">
        <v>328</v>
      </c>
      <c r="U108" s="594">
        <v>0</v>
      </c>
      <c r="V108" s="594">
        <v>0</v>
      </c>
      <c r="W108" s="594">
        <v>0</v>
      </c>
      <c r="X108" s="594">
        <v>328</v>
      </c>
      <c r="Y108" s="594">
        <f t="shared" si="33"/>
        <v>327.997</v>
      </c>
      <c r="Z108" s="594">
        <f t="shared" si="33"/>
        <v>0</v>
      </c>
      <c r="AA108" s="594">
        <f t="shared" si="33"/>
        <v>0</v>
      </c>
      <c r="AB108" s="594">
        <f t="shared" si="33"/>
        <v>0</v>
      </c>
      <c r="AC108" s="594">
        <f t="shared" si="33"/>
        <v>327.997</v>
      </c>
      <c r="AD108" s="596">
        <f>Y108/T108</f>
        <v>0.9999908536585367</v>
      </c>
      <c r="AE108" s="597"/>
      <c r="AF108" s="597"/>
      <c r="AG108" s="596"/>
      <c r="AH108" s="598">
        <f>AC108/X108</f>
        <v>0.9999908536585367</v>
      </c>
    </row>
    <row r="109" spans="1:34" ht="38.25">
      <c r="A109" s="552"/>
      <c r="B109" s="584" t="s">
        <v>747</v>
      </c>
      <c r="C109" s="588" t="s">
        <v>748</v>
      </c>
      <c r="D109" s="589"/>
      <c r="E109" s="589">
        <v>7565863</v>
      </c>
      <c r="F109" s="589" t="s">
        <v>749</v>
      </c>
      <c r="G109" s="554" t="s">
        <v>750</v>
      </c>
      <c r="H109" s="570">
        <f>SUM(J109:K109)</f>
        <v>82608</v>
      </c>
      <c r="I109" s="604"/>
      <c r="J109" s="604"/>
      <c r="K109" s="570">
        <f>INDEX('[5]BC TT 85'!$A$12:$X$264,MATCH('[5]PL6243'!$B105,'[5]BC TT 85'!$B$12:$B$264,0),5)</f>
        <v>82608</v>
      </c>
      <c r="L109" s="571">
        <f>SUM(M109:O109)</f>
        <v>395.05600000000004</v>
      </c>
      <c r="M109" s="571"/>
      <c r="N109" s="571"/>
      <c r="O109" s="571">
        <f>INDEX('[5]BC TT 85'!$A$12:$X$264,MATCH('[5]PL6243'!$B105,'[5]BC TT 85'!$B$12:$B$264,0),24)</f>
        <v>395.05600000000004</v>
      </c>
      <c r="P109" s="571">
        <v>395.05899999999997</v>
      </c>
      <c r="Q109" s="571"/>
      <c r="R109" s="571"/>
      <c r="S109" s="571">
        <v>395.05899999999997</v>
      </c>
      <c r="T109" s="571">
        <v>328</v>
      </c>
      <c r="U109" s="571"/>
      <c r="V109" s="571"/>
      <c r="W109" s="571"/>
      <c r="X109" s="572">
        <v>328</v>
      </c>
      <c r="Y109" s="572">
        <f>SUM(Z109:AC109)</f>
        <v>327.997</v>
      </c>
      <c r="Z109" s="572"/>
      <c r="AA109" s="572"/>
      <c r="AB109" s="572"/>
      <c r="AC109" s="572">
        <f>+INDEX('[5]BC TT 85'!$A$12:$X$264,MATCH('[5]PL6243'!$B105,'[5]BC TT 85'!$B$12:$B$264,0),22)</f>
        <v>327.997</v>
      </c>
      <c r="AD109" s="585">
        <f>Y109/T109</f>
        <v>0.9999908536585367</v>
      </c>
      <c r="AE109" s="586"/>
      <c r="AF109" s="586"/>
      <c r="AG109" s="585"/>
      <c r="AH109" s="587">
        <f>AC109/X109</f>
        <v>0.9999908536585367</v>
      </c>
    </row>
    <row r="110" spans="1:34" ht="15.75">
      <c r="A110" s="552"/>
      <c r="B110" s="569" t="s">
        <v>300</v>
      </c>
      <c r="C110" s="588"/>
      <c r="D110" s="589"/>
      <c r="E110" s="589"/>
      <c r="F110" s="589"/>
      <c r="G110" s="589"/>
      <c r="H110" s="611"/>
      <c r="I110" s="611"/>
      <c r="J110" s="611"/>
      <c r="K110" s="611"/>
      <c r="L110" s="594"/>
      <c r="M110" s="594"/>
      <c r="N110" s="594"/>
      <c r="O110" s="594"/>
      <c r="P110" s="595"/>
      <c r="Q110" s="595"/>
      <c r="R110" s="595"/>
      <c r="S110" s="595"/>
      <c r="T110" s="612"/>
      <c r="U110" s="612"/>
      <c r="V110" s="612"/>
      <c r="W110" s="612"/>
      <c r="X110" s="612"/>
      <c r="Y110" s="601"/>
      <c r="Z110" s="606"/>
      <c r="AA110" s="606"/>
      <c r="AB110" s="606"/>
      <c r="AC110" s="606"/>
      <c r="AD110" s="585"/>
      <c r="AE110" s="586"/>
      <c r="AF110" s="586"/>
      <c r="AG110" s="585"/>
      <c r="AH110" s="587"/>
    </row>
    <row r="111" spans="1:34" ht="15.75" hidden="1">
      <c r="A111" s="552"/>
      <c r="B111" s="584"/>
      <c r="C111" s="554"/>
      <c r="D111" s="589"/>
      <c r="E111" s="589"/>
      <c r="F111" s="554"/>
      <c r="G111" s="554"/>
      <c r="H111" s="570"/>
      <c r="I111" s="570"/>
      <c r="J111" s="570"/>
      <c r="K111" s="570"/>
      <c r="L111" s="571"/>
      <c r="M111" s="571"/>
      <c r="N111" s="571"/>
      <c r="O111" s="571"/>
      <c r="P111" s="571"/>
      <c r="Q111" s="571"/>
      <c r="R111" s="571"/>
      <c r="S111" s="571"/>
      <c r="T111" s="570"/>
      <c r="U111" s="570"/>
      <c r="V111" s="570"/>
      <c r="W111" s="570"/>
      <c r="X111" s="570"/>
      <c r="Y111" s="572"/>
      <c r="Z111" s="626"/>
      <c r="AA111" s="626"/>
      <c r="AB111" s="626"/>
      <c r="AC111" s="626"/>
      <c r="AD111" s="585"/>
      <c r="AE111" s="586"/>
      <c r="AF111" s="586"/>
      <c r="AG111" s="585"/>
      <c r="AH111" s="587"/>
    </row>
    <row r="112" spans="1:34" ht="15.75">
      <c r="A112" s="552"/>
      <c r="B112" s="569" t="s">
        <v>301</v>
      </c>
      <c r="C112" s="588"/>
      <c r="D112" s="589"/>
      <c r="E112" s="589"/>
      <c r="F112" s="589"/>
      <c r="G112" s="589"/>
      <c r="H112" s="590"/>
      <c r="I112" s="590"/>
      <c r="J112" s="590"/>
      <c r="K112" s="590"/>
      <c r="L112" s="591"/>
      <c r="M112" s="591"/>
      <c r="N112" s="591"/>
      <c r="O112" s="591"/>
      <c r="P112" s="591"/>
      <c r="Q112" s="591"/>
      <c r="R112" s="591"/>
      <c r="S112" s="591"/>
      <c r="T112" s="590"/>
      <c r="U112" s="590"/>
      <c r="V112" s="590"/>
      <c r="W112" s="590"/>
      <c r="X112" s="590"/>
      <c r="Y112" s="592"/>
      <c r="Z112" s="605"/>
      <c r="AA112" s="605"/>
      <c r="AB112" s="605"/>
      <c r="AC112" s="605"/>
      <c r="AD112" s="585"/>
      <c r="AE112" s="586"/>
      <c r="AF112" s="586"/>
      <c r="AG112" s="585"/>
      <c r="AH112" s="587"/>
    </row>
    <row r="113" spans="1:34" ht="15.75">
      <c r="A113" s="552"/>
      <c r="B113" s="582" t="s">
        <v>302</v>
      </c>
      <c r="C113" s="588"/>
      <c r="D113" s="589"/>
      <c r="E113" s="589"/>
      <c r="F113" s="589"/>
      <c r="G113" s="589"/>
      <c r="H113" s="590"/>
      <c r="I113" s="590"/>
      <c r="J113" s="590"/>
      <c r="K113" s="590"/>
      <c r="L113" s="591"/>
      <c r="M113" s="591"/>
      <c r="N113" s="591"/>
      <c r="O113" s="591"/>
      <c r="P113" s="591"/>
      <c r="Q113" s="591"/>
      <c r="R113" s="591"/>
      <c r="S113" s="591"/>
      <c r="T113" s="590"/>
      <c r="U113" s="590"/>
      <c r="V113" s="590"/>
      <c r="W113" s="590"/>
      <c r="X113" s="590"/>
      <c r="Y113" s="592"/>
      <c r="Z113" s="605"/>
      <c r="AA113" s="605"/>
      <c r="AB113" s="605"/>
      <c r="AC113" s="605"/>
      <c r="AD113" s="585"/>
      <c r="AE113" s="586"/>
      <c r="AF113" s="586"/>
      <c r="AG113" s="585"/>
      <c r="AH113" s="587"/>
    </row>
    <row r="114" spans="1:34" ht="15.75">
      <c r="A114" s="552"/>
      <c r="B114" s="569" t="s">
        <v>303</v>
      </c>
      <c r="C114" s="588"/>
      <c r="D114" s="589"/>
      <c r="E114" s="589"/>
      <c r="F114" s="589"/>
      <c r="G114" s="589"/>
      <c r="H114" s="590"/>
      <c r="I114" s="590"/>
      <c r="J114" s="590"/>
      <c r="K114" s="590"/>
      <c r="L114" s="591"/>
      <c r="M114" s="591"/>
      <c r="N114" s="591"/>
      <c r="O114" s="591"/>
      <c r="P114" s="591"/>
      <c r="Q114" s="591"/>
      <c r="R114" s="591"/>
      <c r="S114" s="591"/>
      <c r="T114" s="590"/>
      <c r="U114" s="590"/>
      <c r="V114" s="590"/>
      <c r="W114" s="590"/>
      <c r="X114" s="590"/>
      <c r="Y114" s="592"/>
      <c r="Z114" s="605"/>
      <c r="AA114" s="605"/>
      <c r="AB114" s="605"/>
      <c r="AC114" s="605"/>
      <c r="AD114" s="585"/>
      <c r="AE114" s="586"/>
      <c r="AF114" s="586"/>
      <c r="AG114" s="585"/>
      <c r="AH114" s="587"/>
    </row>
    <row r="115" spans="1:34" ht="27">
      <c r="A115" s="552"/>
      <c r="B115" s="582" t="s">
        <v>309</v>
      </c>
      <c r="C115" s="588"/>
      <c r="D115" s="589"/>
      <c r="E115" s="589"/>
      <c r="F115" s="589"/>
      <c r="G115" s="589"/>
      <c r="H115" s="590"/>
      <c r="I115" s="590"/>
      <c r="J115" s="590"/>
      <c r="K115" s="590"/>
      <c r="L115" s="591"/>
      <c r="M115" s="591"/>
      <c r="N115" s="591"/>
      <c r="O115" s="591"/>
      <c r="P115" s="591"/>
      <c r="Q115" s="591"/>
      <c r="R115" s="591"/>
      <c r="S115" s="591"/>
      <c r="T115" s="590"/>
      <c r="U115" s="590"/>
      <c r="V115" s="590"/>
      <c r="W115" s="590"/>
      <c r="X115" s="590"/>
      <c r="Y115" s="592"/>
      <c r="Z115" s="605"/>
      <c r="AA115" s="605"/>
      <c r="AB115" s="605"/>
      <c r="AC115" s="605"/>
      <c r="AD115" s="585"/>
      <c r="AE115" s="586"/>
      <c r="AF115" s="586"/>
      <c r="AG115" s="585"/>
      <c r="AH115" s="587"/>
    </row>
    <row r="116" spans="1:34" ht="15.75">
      <c r="A116" s="552"/>
      <c r="B116" s="569" t="s">
        <v>310</v>
      </c>
      <c r="C116" s="588"/>
      <c r="D116" s="589"/>
      <c r="E116" s="589"/>
      <c r="F116" s="589"/>
      <c r="G116" s="589"/>
      <c r="H116" s="590"/>
      <c r="I116" s="590"/>
      <c r="J116" s="590"/>
      <c r="K116" s="590"/>
      <c r="L116" s="591"/>
      <c r="M116" s="591"/>
      <c r="N116" s="591"/>
      <c r="O116" s="591"/>
      <c r="P116" s="591"/>
      <c r="Q116" s="591"/>
      <c r="R116" s="591"/>
      <c r="S116" s="591"/>
      <c r="T116" s="590"/>
      <c r="U116" s="590"/>
      <c r="V116" s="590"/>
      <c r="W116" s="590"/>
      <c r="X116" s="590"/>
      <c r="Y116" s="592"/>
      <c r="Z116" s="605"/>
      <c r="AA116" s="605"/>
      <c r="AB116" s="605"/>
      <c r="AC116" s="605"/>
      <c r="AD116" s="585"/>
      <c r="AE116" s="586"/>
      <c r="AF116" s="586"/>
      <c r="AG116" s="585"/>
      <c r="AH116" s="587"/>
    </row>
    <row r="117" spans="1:34" ht="15.75">
      <c r="A117" s="552"/>
      <c r="B117" s="569" t="s">
        <v>311</v>
      </c>
      <c r="C117" s="588"/>
      <c r="D117" s="589"/>
      <c r="E117" s="589"/>
      <c r="F117" s="589"/>
      <c r="G117" s="589"/>
      <c r="H117" s="590"/>
      <c r="I117" s="590"/>
      <c r="J117" s="590"/>
      <c r="K117" s="590"/>
      <c r="L117" s="591"/>
      <c r="M117" s="591"/>
      <c r="N117" s="591"/>
      <c r="O117" s="591"/>
      <c r="P117" s="591"/>
      <c r="Q117" s="591"/>
      <c r="R117" s="591"/>
      <c r="S117" s="591"/>
      <c r="T117" s="590"/>
      <c r="U117" s="590"/>
      <c r="V117" s="590"/>
      <c r="W117" s="590"/>
      <c r="X117" s="590"/>
      <c r="Y117" s="592"/>
      <c r="Z117" s="605"/>
      <c r="AA117" s="605"/>
      <c r="AB117" s="605"/>
      <c r="AC117" s="605"/>
      <c r="AD117" s="585"/>
      <c r="AE117" s="586"/>
      <c r="AF117" s="586"/>
      <c r="AG117" s="585"/>
      <c r="AH117" s="587"/>
    </row>
    <row r="118" spans="1:34" ht="15.75">
      <c r="A118" s="552"/>
      <c r="B118" s="569" t="s">
        <v>312</v>
      </c>
      <c r="C118" s="588"/>
      <c r="D118" s="589"/>
      <c r="E118" s="589"/>
      <c r="F118" s="589"/>
      <c r="G118" s="589"/>
      <c r="H118" s="590"/>
      <c r="I118" s="590"/>
      <c r="J118" s="590"/>
      <c r="K118" s="590"/>
      <c r="L118" s="591"/>
      <c r="M118" s="591"/>
      <c r="N118" s="591"/>
      <c r="O118" s="591"/>
      <c r="P118" s="591"/>
      <c r="Q118" s="591"/>
      <c r="R118" s="591"/>
      <c r="S118" s="591"/>
      <c r="T118" s="590"/>
      <c r="U118" s="590"/>
      <c r="V118" s="590"/>
      <c r="W118" s="590"/>
      <c r="X118" s="590"/>
      <c r="Y118" s="592"/>
      <c r="Z118" s="605"/>
      <c r="AA118" s="605"/>
      <c r="AB118" s="605"/>
      <c r="AC118" s="605"/>
      <c r="AD118" s="585"/>
      <c r="AE118" s="586"/>
      <c r="AF118" s="586"/>
      <c r="AG118" s="585"/>
      <c r="AH118" s="587"/>
    </row>
    <row r="119" spans="1:34" ht="15.75">
      <c r="A119" s="552"/>
      <c r="B119" s="569" t="s">
        <v>313</v>
      </c>
      <c r="C119" s="588"/>
      <c r="D119" s="589"/>
      <c r="E119" s="589"/>
      <c r="F119" s="589"/>
      <c r="G119" s="589"/>
      <c r="H119" s="590"/>
      <c r="I119" s="590"/>
      <c r="J119" s="590"/>
      <c r="K119" s="590"/>
      <c r="L119" s="591"/>
      <c r="M119" s="591"/>
      <c r="N119" s="591"/>
      <c r="O119" s="591"/>
      <c r="P119" s="591"/>
      <c r="Q119" s="591"/>
      <c r="R119" s="591"/>
      <c r="S119" s="591"/>
      <c r="T119" s="590"/>
      <c r="U119" s="590"/>
      <c r="V119" s="590"/>
      <c r="W119" s="590"/>
      <c r="X119" s="590"/>
      <c r="Y119" s="592"/>
      <c r="Z119" s="605"/>
      <c r="AA119" s="605"/>
      <c r="AB119" s="605"/>
      <c r="AC119" s="605"/>
      <c r="AD119" s="585"/>
      <c r="AE119" s="586"/>
      <c r="AF119" s="586"/>
      <c r="AG119" s="585"/>
      <c r="AH119" s="587"/>
    </row>
    <row r="120" spans="1:34" ht="15.75">
      <c r="A120" s="552"/>
      <c r="B120" s="561" t="s">
        <v>378</v>
      </c>
      <c r="C120" s="588"/>
      <c r="D120" s="589"/>
      <c r="E120" s="589"/>
      <c r="F120" s="589"/>
      <c r="G120" s="589"/>
      <c r="H120" s="595">
        <f aca="true" t="shared" si="34" ref="H120:O120">H121+H124+H126+H128+H131+H141+H142+H143+H144+H146</f>
        <v>286675.01399999997</v>
      </c>
      <c r="I120" s="595">
        <f t="shared" si="34"/>
        <v>0</v>
      </c>
      <c r="J120" s="595">
        <f t="shared" si="34"/>
        <v>0</v>
      </c>
      <c r="K120" s="595">
        <f t="shared" si="34"/>
        <v>286675.01399999997</v>
      </c>
      <c r="L120" s="595">
        <f t="shared" si="34"/>
        <v>105765.563</v>
      </c>
      <c r="M120" s="595">
        <f t="shared" si="34"/>
        <v>0</v>
      </c>
      <c r="N120" s="595">
        <f t="shared" si="34"/>
        <v>0</v>
      </c>
      <c r="O120" s="595">
        <f t="shared" si="34"/>
        <v>105765.563</v>
      </c>
      <c r="P120" s="595">
        <v>109351.87</v>
      </c>
      <c r="Q120" s="595">
        <v>0</v>
      </c>
      <c r="R120" s="595">
        <v>0</v>
      </c>
      <c r="S120" s="595">
        <v>109351.87</v>
      </c>
      <c r="T120" s="612">
        <v>65220.448</v>
      </c>
      <c r="U120" s="612">
        <v>0</v>
      </c>
      <c r="V120" s="612">
        <v>0</v>
      </c>
      <c r="W120" s="612">
        <v>0</v>
      </c>
      <c r="X120" s="612">
        <v>65220.448</v>
      </c>
      <c r="Y120" s="595">
        <f>Y121+Y124+Y126+Y128+Y131+Y141+Y142+Y143+Y144+Y146</f>
        <v>58935.026999999995</v>
      </c>
      <c r="Z120" s="595">
        <f>Z121+Z124+Z126+Z128+Z131+Z141+Z142+Z143+Z144+Z146</f>
        <v>0</v>
      </c>
      <c r="AA120" s="595">
        <f>AA121+AA124+AA126+AA128+AA131+AA141+AA142+AA143+AA144+AA146</f>
        <v>0</v>
      </c>
      <c r="AB120" s="595">
        <f>AB121+AB124+AB126+AB128+AB131+AB141+AB142+AB143+AB144+AB146</f>
        <v>0</v>
      </c>
      <c r="AC120" s="595">
        <f>AC121+AC124+AC126+AC128+AC131+AC141+AC142+AC143+AC144+AC146</f>
        <v>58935.026999999995</v>
      </c>
      <c r="AD120" s="596">
        <f>Y120/T120</f>
        <v>0.9036280615551736</v>
      </c>
      <c r="AE120" s="597"/>
      <c r="AF120" s="597"/>
      <c r="AG120" s="596"/>
      <c r="AH120" s="598">
        <f>AC120/X120</f>
        <v>0.9036280615551736</v>
      </c>
    </row>
    <row r="121" spans="1:34" ht="15.75">
      <c r="A121" s="552"/>
      <c r="B121" s="569" t="s">
        <v>299</v>
      </c>
      <c r="C121" s="588"/>
      <c r="D121" s="589"/>
      <c r="E121" s="589"/>
      <c r="F121" s="589"/>
      <c r="G121" s="589"/>
      <c r="H121" s="611">
        <f aca="true" t="shared" si="35" ref="H121:AC121">SUM(H122:H123)</f>
        <v>25834.633</v>
      </c>
      <c r="I121" s="611">
        <f t="shared" si="35"/>
        <v>0</v>
      </c>
      <c r="J121" s="611">
        <f t="shared" si="35"/>
        <v>0</v>
      </c>
      <c r="K121" s="611">
        <f t="shared" si="35"/>
        <v>25834.633</v>
      </c>
      <c r="L121" s="594">
        <f t="shared" si="35"/>
        <v>1425.002</v>
      </c>
      <c r="M121" s="594">
        <f t="shared" si="35"/>
        <v>0</v>
      </c>
      <c r="N121" s="594">
        <f t="shared" si="35"/>
        <v>0</v>
      </c>
      <c r="O121" s="594">
        <f t="shared" si="35"/>
        <v>1425.002</v>
      </c>
      <c r="P121" s="595">
        <v>2865.012</v>
      </c>
      <c r="Q121" s="595">
        <v>0</v>
      </c>
      <c r="R121" s="595">
        <v>0</v>
      </c>
      <c r="S121" s="595">
        <v>2865.012</v>
      </c>
      <c r="T121" s="612">
        <v>2742</v>
      </c>
      <c r="U121" s="612">
        <v>0</v>
      </c>
      <c r="V121" s="612">
        <v>0</v>
      </c>
      <c r="W121" s="612">
        <v>0</v>
      </c>
      <c r="X121" s="612">
        <v>2742</v>
      </c>
      <c r="Y121" s="601">
        <f t="shared" si="35"/>
        <v>1301.99</v>
      </c>
      <c r="Z121" s="606">
        <f t="shared" si="35"/>
        <v>0</v>
      </c>
      <c r="AA121" s="606">
        <f t="shared" si="35"/>
        <v>0</v>
      </c>
      <c r="AB121" s="606">
        <f t="shared" si="35"/>
        <v>0</v>
      </c>
      <c r="AC121" s="601">
        <f t="shared" si="35"/>
        <v>1301.99</v>
      </c>
      <c r="AD121" s="596">
        <f>Y121/T121</f>
        <v>0.47483223924142964</v>
      </c>
      <c r="AE121" s="597"/>
      <c r="AF121" s="597"/>
      <c r="AG121" s="596"/>
      <c r="AH121" s="598">
        <f>AC121/X121</f>
        <v>0.47483223924142964</v>
      </c>
    </row>
    <row r="122" spans="1:34" ht="51">
      <c r="A122" s="552"/>
      <c r="B122" s="584" t="s">
        <v>751</v>
      </c>
      <c r="C122" s="554" t="s">
        <v>698</v>
      </c>
      <c r="D122" s="589"/>
      <c r="E122" s="589">
        <v>7648511</v>
      </c>
      <c r="F122" s="554" t="s">
        <v>687</v>
      </c>
      <c r="G122" s="554" t="s">
        <v>752</v>
      </c>
      <c r="H122" s="570">
        <f>SUM(J122:K122)</f>
        <v>7514.633</v>
      </c>
      <c r="I122" s="604"/>
      <c r="J122" s="604"/>
      <c r="K122" s="570">
        <f>INDEX('[5]BC TT 85'!$A$12:$X$264,MATCH('[5]PL6243'!$B118,'[5]BC TT 85'!$B$12:$B$264,0),5)</f>
        <v>7514.633</v>
      </c>
      <c r="L122" s="571">
        <f>SUM(M122:O122)</f>
        <v>98.063</v>
      </c>
      <c r="M122" s="571"/>
      <c r="N122" s="571"/>
      <c r="O122" s="571">
        <f>INDEX('[5]BC TT 85'!$A$12:$X$264,MATCH('[5]PL6243'!$B118,'[5]BC TT 85'!$B$12:$B$264,0),24)</f>
        <v>98.063</v>
      </c>
      <c r="P122" s="571">
        <v>100</v>
      </c>
      <c r="Q122" s="571"/>
      <c r="R122" s="571"/>
      <c r="S122" s="571">
        <v>100</v>
      </c>
      <c r="T122" s="570">
        <v>100</v>
      </c>
      <c r="U122" s="570"/>
      <c r="V122" s="570"/>
      <c r="W122" s="570"/>
      <c r="X122" s="572">
        <v>100</v>
      </c>
      <c r="Y122" s="572">
        <f>SUM(Z122:AC122)</f>
        <v>98.063</v>
      </c>
      <c r="Z122" s="572"/>
      <c r="AA122" s="572"/>
      <c r="AB122" s="572"/>
      <c r="AC122" s="572">
        <f>+INDEX('[5]BC TT 85'!$A$12:$X$264,MATCH('[5]PL6243'!$B118,'[5]BC TT 85'!$B$12:$B$264,0),22)</f>
        <v>98.063</v>
      </c>
      <c r="AD122" s="585">
        <f>Y122/T122</f>
        <v>0.98063</v>
      </c>
      <c r="AE122" s="586"/>
      <c r="AF122" s="586"/>
      <c r="AG122" s="585"/>
      <c r="AH122" s="587">
        <f>AC122/X122</f>
        <v>0.98063</v>
      </c>
    </row>
    <row r="123" spans="1:34" ht="76.5">
      <c r="A123" s="552"/>
      <c r="B123" s="627" t="s">
        <v>753</v>
      </c>
      <c r="C123" s="554" t="s">
        <v>690</v>
      </c>
      <c r="D123" s="589"/>
      <c r="E123" s="589">
        <v>7482252</v>
      </c>
      <c r="F123" s="554" t="s">
        <v>661</v>
      </c>
      <c r="G123" s="554" t="s">
        <v>787</v>
      </c>
      <c r="H123" s="570">
        <f>SUM(J123:K123)</f>
        <v>18320</v>
      </c>
      <c r="I123" s="604"/>
      <c r="J123" s="604"/>
      <c r="K123" s="570">
        <f>INDEX('[5]BC TT 85'!$A$12:$X$264,MATCH('[5]PL6243'!$B119,'[5]BC TT 85'!$B$12:$B$264,0),5)</f>
        <v>18320</v>
      </c>
      <c r="L123" s="571">
        <f>SUM(M123:O123)</f>
        <v>1326.9389999999999</v>
      </c>
      <c r="M123" s="571"/>
      <c r="N123" s="571"/>
      <c r="O123" s="571">
        <f>INDEX('[5]BC TT 85'!$A$12:$X$264,MATCH('[5]PL6243'!$B119,'[5]BC TT 85'!$B$12:$B$264,0),24)</f>
        <v>1326.9389999999999</v>
      </c>
      <c r="P123" s="571">
        <v>2765.012</v>
      </c>
      <c r="Q123" s="571"/>
      <c r="R123" s="571"/>
      <c r="S123" s="571">
        <v>2765.012</v>
      </c>
      <c r="T123" s="570">
        <v>2642</v>
      </c>
      <c r="U123" s="570"/>
      <c r="V123" s="570"/>
      <c r="W123" s="570"/>
      <c r="X123" s="572">
        <v>2642</v>
      </c>
      <c r="Y123" s="572">
        <f>SUM(Z123:AC123)</f>
        <v>1203.927</v>
      </c>
      <c r="Z123" s="572"/>
      <c r="AA123" s="572"/>
      <c r="AB123" s="572"/>
      <c r="AC123" s="572">
        <f>+INDEX('[5]BC TT 85'!$A$12:$X$264,MATCH('[5]PL6243'!$B119,'[5]BC TT 85'!$B$12:$B$264,0),22)</f>
        <v>1203.927</v>
      </c>
      <c r="AD123" s="585">
        <f>Y123/T123</f>
        <v>0.45568773656320966</v>
      </c>
      <c r="AE123" s="586"/>
      <c r="AF123" s="586"/>
      <c r="AG123" s="585"/>
      <c r="AH123" s="587">
        <f>AC123/X123</f>
        <v>0.45568773656320966</v>
      </c>
    </row>
    <row r="124" spans="1:34" ht="15.75">
      <c r="A124" s="552"/>
      <c r="B124" s="569" t="s">
        <v>300</v>
      </c>
      <c r="C124" s="588"/>
      <c r="D124" s="589"/>
      <c r="E124" s="589"/>
      <c r="F124" s="589"/>
      <c r="G124" s="589"/>
      <c r="H124" s="611">
        <f>H125</f>
        <v>0</v>
      </c>
      <c r="I124" s="611">
        <f aca="true" t="shared" si="36" ref="I124:AC124">I125</f>
        <v>0</v>
      </c>
      <c r="J124" s="611">
        <f t="shared" si="36"/>
        <v>0</v>
      </c>
      <c r="K124" s="611">
        <f t="shared" si="36"/>
        <v>0</v>
      </c>
      <c r="L124" s="594">
        <f t="shared" si="36"/>
        <v>0</v>
      </c>
      <c r="M124" s="594">
        <f t="shared" si="36"/>
        <v>0</v>
      </c>
      <c r="N124" s="594">
        <f t="shared" si="36"/>
        <v>0</v>
      </c>
      <c r="O124" s="594">
        <f t="shared" si="36"/>
        <v>0</v>
      </c>
      <c r="P124" s="595">
        <v>0</v>
      </c>
      <c r="Q124" s="595">
        <v>0</v>
      </c>
      <c r="R124" s="595">
        <v>0</v>
      </c>
      <c r="S124" s="595">
        <v>0</v>
      </c>
      <c r="T124" s="612">
        <v>0</v>
      </c>
      <c r="U124" s="612">
        <v>0</v>
      </c>
      <c r="V124" s="612">
        <v>0</v>
      </c>
      <c r="W124" s="612">
        <v>0</v>
      </c>
      <c r="X124" s="612">
        <v>0</v>
      </c>
      <c r="Y124" s="601">
        <f t="shared" si="36"/>
        <v>0</v>
      </c>
      <c r="Z124" s="606">
        <f t="shared" si="36"/>
        <v>0</v>
      </c>
      <c r="AA124" s="606">
        <f t="shared" si="36"/>
        <v>0</v>
      </c>
      <c r="AB124" s="606">
        <f t="shared" si="36"/>
        <v>0</v>
      </c>
      <c r="AC124" s="606">
        <f t="shared" si="36"/>
        <v>0</v>
      </c>
      <c r="AD124" s="547"/>
      <c r="AE124" s="559"/>
      <c r="AF124" s="559"/>
      <c r="AG124" s="547"/>
      <c r="AH124" s="550"/>
    </row>
    <row r="125" spans="1:34" ht="15.75" hidden="1">
      <c r="A125" s="552"/>
      <c r="B125" s="584"/>
      <c r="C125" s="554"/>
      <c r="D125" s="589"/>
      <c r="E125" s="589"/>
      <c r="F125" s="554"/>
      <c r="G125" s="554"/>
      <c r="H125" s="570"/>
      <c r="I125" s="570"/>
      <c r="J125" s="570"/>
      <c r="K125" s="570"/>
      <c r="L125" s="571"/>
      <c r="M125" s="571"/>
      <c r="N125" s="571"/>
      <c r="O125" s="571"/>
      <c r="P125" s="571"/>
      <c r="Q125" s="571"/>
      <c r="R125" s="571"/>
      <c r="S125" s="571"/>
      <c r="T125" s="570"/>
      <c r="U125" s="570"/>
      <c r="V125" s="570"/>
      <c r="W125" s="570"/>
      <c r="X125" s="570"/>
      <c r="Y125" s="572"/>
      <c r="Z125" s="626"/>
      <c r="AA125" s="626"/>
      <c r="AB125" s="626"/>
      <c r="AC125" s="626"/>
      <c r="AD125" s="585"/>
      <c r="AE125" s="586"/>
      <c r="AF125" s="586"/>
      <c r="AG125" s="585"/>
      <c r="AH125" s="587"/>
    </row>
    <row r="126" spans="1:34" ht="15.75">
      <c r="A126" s="552"/>
      <c r="B126" s="569" t="s">
        <v>301</v>
      </c>
      <c r="C126" s="588"/>
      <c r="D126" s="589"/>
      <c r="E126" s="589"/>
      <c r="F126" s="589"/>
      <c r="G126" s="589"/>
      <c r="H126" s="611">
        <f>H127</f>
        <v>22746.149</v>
      </c>
      <c r="I126" s="611">
        <f aca="true" t="shared" si="37" ref="I126:AC126">I127</f>
        <v>0</v>
      </c>
      <c r="J126" s="611">
        <f t="shared" si="37"/>
        <v>0</v>
      </c>
      <c r="K126" s="611">
        <f t="shared" si="37"/>
        <v>22746.149</v>
      </c>
      <c r="L126" s="594">
        <f t="shared" si="37"/>
        <v>21130.351</v>
      </c>
      <c r="M126" s="594">
        <f t="shared" si="37"/>
        <v>0</v>
      </c>
      <c r="N126" s="594">
        <f t="shared" si="37"/>
        <v>0</v>
      </c>
      <c r="O126" s="594">
        <f t="shared" si="37"/>
        <v>21130.351</v>
      </c>
      <c r="P126" s="595">
        <v>21914.624</v>
      </c>
      <c r="Q126" s="595">
        <v>0</v>
      </c>
      <c r="R126" s="595">
        <v>0</v>
      </c>
      <c r="S126" s="595">
        <v>21914.624</v>
      </c>
      <c r="T126" s="628">
        <v>12236.204</v>
      </c>
      <c r="U126" s="628">
        <v>0</v>
      </c>
      <c r="V126" s="628">
        <v>0</v>
      </c>
      <c r="W126" s="628">
        <v>0</v>
      </c>
      <c r="X126" s="628">
        <v>12236.204</v>
      </c>
      <c r="Y126" s="601">
        <f t="shared" si="37"/>
        <v>11451.930999999999</v>
      </c>
      <c r="Z126" s="606">
        <f t="shared" si="37"/>
        <v>0</v>
      </c>
      <c r="AA126" s="606">
        <f t="shared" si="37"/>
        <v>0</v>
      </c>
      <c r="AB126" s="606">
        <f t="shared" si="37"/>
        <v>0</v>
      </c>
      <c r="AC126" s="601">
        <f t="shared" si="37"/>
        <v>11451.930999999999</v>
      </c>
      <c r="AD126" s="547">
        <f>Y126/T126</f>
        <v>0.9359055308329282</v>
      </c>
      <c r="AE126" s="559"/>
      <c r="AF126" s="559"/>
      <c r="AG126" s="547"/>
      <c r="AH126" s="550">
        <f>AC126/X126</f>
        <v>0.9359055308329282</v>
      </c>
    </row>
    <row r="127" spans="1:34" ht="38.25">
      <c r="A127" s="552"/>
      <c r="B127" s="584" t="s">
        <v>383</v>
      </c>
      <c r="C127" s="554" t="s">
        <v>690</v>
      </c>
      <c r="D127" s="589"/>
      <c r="E127" s="589">
        <v>7553805</v>
      </c>
      <c r="F127" s="554" t="s">
        <v>661</v>
      </c>
      <c r="G127" s="554" t="s">
        <v>754</v>
      </c>
      <c r="H127" s="570">
        <f>SUM(J127:K127)</f>
        <v>22746.149</v>
      </c>
      <c r="I127" s="604"/>
      <c r="J127" s="604"/>
      <c r="K127" s="570">
        <f>INDEX('[5]BC TT 85'!$A$12:$X$264,MATCH('[5]PL6243'!$B123,'[5]BC TT 85'!$B$12:$B$264,0),5)</f>
        <v>22746.149</v>
      </c>
      <c r="L127" s="571">
        <f>SUM(M127:O127)</f>
        <v>21130.351</v>
      </c>
      <c r="M127" s="571"/>
      <c r="N127" s="571"/>
      <c r="O127" s="571">
        <f>INDEX('[5]BC TT 85'!$A$12:$X$264,MATCH('[5]PL6243'!$B123,'[5]BC TT 85'!$B$12:$B$264,0),24)</f>
        <v>21130.351</v>
      </c>
      <c r="P127" s="571">
        <v>21914.624</v>
      </c>
      <c r="Q127" s="571"/>
      <c r="R127" s="571"/>
      <c r="S127" s="571">
        <v>21914.624</v>
      </c>
      <c r="T127" s="571">
        <v>12236.204</v>
      </c>
      <c r="U127" s="571"/>
      <c r="V127" s="571"/>
      <c r="W127" s="571"/>
      <c r="X127" s="572">
        <v>12236.204</v>
      </c>
      <c r="Y127" s="572">
        <f>SUM(Z127:AC127)</f>
        <v>11451.930999999999</v>
      </c>
      <c r="Z127" s="572"/>
      <c r="AA127" s="572"/>
      <c r="AB127" s="572"/>
      <c r="AC127" s="572">
        <f>+INDEX('[5]BC TT 85'!$A$12:$X$264,MATCH('[5]PL6243'!$B123,'[5]BC TT 85'!$B$12:$B$264,0),22)</f>
        <v>11451.930999999999</v>
      </c>
      <c r="AD127" s="585">
        <f>Y127/T127</f>
        <v>0.9359055308329282</v>
      </c>
      <c r="AE127" s="586"/>
      <c r="AF127" s="586"/>
      <c r="AG127" s="585"/>
      <c r="AH127" s="587">
        <f>AC127/X127</f>
        <v>0.9359055308329282</v>
      </c>
    </row>
    <row r="128" spans="1:34" ht="15.75">
      <c r="A128" s="552"/>
      <c r="B128" s="582" t="s">
        <v>302</v>
      </c>
      <c r="C128" s="588"/>
      <c r="D128" s="589"/>
      <c r="E128" s="589"/>
      <c r="F128" s="589"/>
      <c r="G128" s="589"/>
      <c r="H128" s="611">
        <f>SUM(H129:H130)</f>
        <v>0</v>
      </c>
      <c r="I128" s="611">
        <f aca="true" t="shared" si="38" ref="I128:AC128">SUM(I129:I130)</f>
        <v>0</v>
      </c>
      <c r="J128" s="611">
        <f t="shared" si="38"/>
        <v>0</v>
      </c>
      <c r="K128" s="611">
        <f t="shared" si="38"/>
        <v>0</v>
      </c>
      <c r="L128" s="594">
        <f t="shared" si="38"/>
        <v>0</v>
      </c>
      <c r="M128" s="594">
        <f t="shared" si="38"/>
        <v>0</v>
      </c>
      <c r="N128" s="594">
        <f t="shared" si="38"/>
        <v>0</v>
      </c>
      <c r="O128" s="594">
        <f t="shared" si="38"/>
        <v>0</v>
      </c>
      <c r="P128" s="595">
        <v>0</v>
      </c>
      <c r="Q128" s="595">
        <v>0</v>
      </c>
      <c r="R128" s="595">
        <v>0</v>
      </c>
      <c r="S128" s="571">
        <v>0</v>
      </c>
      <c r="T128" s="612">
        <v>0</v>
      </c>
      <c r="U128" s="612">
        <v>0</v>
      </c>
      <c r="V128" s="612">
        <v>0</v>
      </c>
      <c r="W128" s="612">
        <v>0</v>
      </c>
      <c r="X128" s="612">
        <v>0</v>
      </c>
      <c r="Y128" s="601">
        <f t="shared" si="38"/>
        <v>0</v>
      </c>
      <c r="Z128" s="606">
        <f t="shared" si="38"/>
        <v>0</v>
      </c>
      <c r="AA128" s="606">
        <f t="shared" si="38"/>
        <v>0</v>
      </c>
      <c r="AB128" s="606">
        <f t="shared" si="38"/>
        <v>0</v>
      </c>
      <c r="AC128" s="606">
        <f t="shared" si="38"/>
        <v>0</v>
      </c>
      <c r="AD128" s="547"/>
      <c r="AE128" s="559"/>
      <c r="AF128" s="559"/>
      <c r="AG128" s="547"/>
      <c r="AH128" s="550"/>
    </row>
    <row r="129" spans="1:34" ht="15.75" hidden="1">
      <c r="A129" s="552"/>
      <c r="B129" s="584"/>
      <c r="C129" s="554"/>
      <c r="D129" s="589"/>
      <c r="E129" s="589"/>
      <c r="F129" s="554"/>
      <c r="G129" s="554"/>
      <c r="H129" s="570"/>
      <c r="I129" s="570"/>
      <c r="J129" s="570"/>
      <c r="K129" s="570"/>
      <c r="L129" s="571"/>
      <c r="M129" s="571"/>
      <c r="N129" s="571"/>
      <c r="O129" s="571"/>
      <c r="P129" s="571"/>
      <c r="Q129" s="571"/>
      <c r="R129" s="571"/>
      <c r="S129" s="571"/>
      <c r="T129" s="570"/>
      <c r="U129" s="570"/>
      <c r="V129" s="570"/>
      <c r="W129" s="570"/>
      <c r="X129" s="570"/>
      <c r="Y129" s="572"/>
      <c r="Z129" s="626"/>
      <c r="AA129" s="626"/>
      <c r="AB129" s="626"/>
      <c r="AC129" s="626"/>
      <c r="AD129" s="585"/>
      <c r="AE129" s="586"/>
      <c r="AF129" s="586"/>
      <c r="AG129" s="585"/>
      <c r="AH129" s="587"/>
    </row>
    <row r="130" spans="1:34" ht="15.75" hidden="1">
      <c r="A130" s="552"/>
      <c r="B130" s="584"/>
      <c r="C130" s="554"/>
      <c r="D130" s="589"/>
      <c r="E130" s="589"/>
      <c r="F130" s="554"/>
      <c r="G130" s="554"/>
      <c r="H130" s="570"/>
      <c r="I130" s="570"/>
      <c r="J130" s="570"/>
      <c r="K130" s="570"/>
      <c r="L130" s="571"/>
      <c r="M130" s="571"/>
      <c r="N130" s="571"/>
      <c r="O130" s="571"/>
      <c r="P130" s="571"/>
      <c r="Q130" s="571"/>
      <c r="R130" s="571"/>
      <c r="S130" s="571"/>
      <c r="T130" s="570"/>
      <c r="U130" s="570"/>
      <c r="V130" s="570"/>
      <c r="W130" s="570"/>
      <c r="X130" s="570"/>
      <c r="Y130" s="572"/>
      <c r="Z130" s="626"/>
      <c r="AA130" s="626"/>
      <c r="AB130" s="626"/>
      <c r="AC130" s="626"/>
      <c r="AD130" s="585"/>
      <c r="AE130" s="586"/>
      <c r="AF130" s="586"/>
      <c r="AG130" s="585"/>
      <c r="AH130" s="587"/>
    </row>
    <row r="131" spans="1:34" ht="15.75">
      <c r="A131" s="552"/>
      <c r="B131" s="569" t="s">
        <v>303</v>
      </c>
      <c r="C131" s="588"/>
      <c r="D131" s="589"/>
      <c r="E131" s="589"/>
      <c r="F131" s="589"/>
      <c r="G131" s="589"/>
      <c r="H131" s="595">
        <f aca="true" t="shared" si="39" ref="H131:N131">SUM(H132:H140)</f>
        <v>224106.519</v>
      </c>
      <c r="I131" s="595">
        <f t="shared" si="39"/>
        <v>0</v>
      </c>
      <c r="J131" s="595">
        <f t="shared" si="39"/>
        <v>0</v>
      </c>
      <c r="K131" s="595">
        <f t="shared" si="39"/>
        <v>224106.519</v>
      </c>
      <c r="L131" s="595">
        <f t="shared" si="39"/>
        <v>80211.09499999999</v>
      </c>
      <c r="M131" s="595">
        <f t="shared" si="39"/>
        <v>0</v>
      </c>
      <c r="N131" s="595">
        <f t="shared" si="39"/>
        <v>0</v>
      </c>
      <c r="O131" s="595">
        <f>SUM(O132:O140)</f>
        <v>80211.09499999999</v>
      </c>
      <c r="P131" s="595">
        <v>81573.11899999999</v>
      </c>
      <c r="Q131" s="595">
        <v>0</v>
      </c>
      <c r="R131" s="595">
        <v>0</v>
      </c>
      <c r="S131" s="595">
        <v>81573.11899999999</v>
      </c>
      <c r="T131" s="595">
        <v>47873.168</v>
      </c>
      <c r="U131" s="595">
        <v>0</v>
      </c>
      <c r="V131" s="595">
        <v>0</v>
      </c>
      <c r="W131" s="595">
        <v>0</v>
      </c>
      <c r="X131" s="595">
        <v>47873.168</v>
      </c>
      <c r="Y131" s="595">
        <f>SUM(Y132:Y140)</f>
        <v>44697.221</v>
      </c>
      <c r="Z131" s="595">
        <f>SUM(Z132:Z140)</f>
        <v>0</v>
      </c>
      <c r="AA131" s="595">
        <f>SUM(AA132:AA140)</f>
        <v>0</v>
      </c>
      <c r="AB131" s="595">
        <f>SUM(AB132:AB140)</f>
        <v>0</v>
      </c>
      <c r="AC131" s="595">
        <f>SUM(AC132:AC140)</f>
        <v>44697.221</v>
      </c>
      <c r="AD131" s="547">
        <f>Y131/T131</f>
        <v>0.9336591428417689</v>
      </c>
      <c r="AE131" s="559"/>
      <c r="AF131" s="559"/>
      <c r="AG131" s="547"/>
      <c r="AH131" s="550">
        <f>AC131/X131</f>
        <v>0.9336591428417689</v>
      </c>
    </row>
    <row r="132" spans="1:34" ht="38.25">
      <c r="A132" s="552"/>
      <c r="B132" s="584" t="s">
        <v>734</v>
      </c>
      <c r="C132" s="588" t="s">
        <v>671</v>
      </c>
      <c r="D132" s="589"/>
      <c r="E132" s="589">
        <v>7477364</v>
      </c>
      <c r="F132" s="589" t="s">
        <v>669</v>
      </c>
      <c r="G132" s="554" t="s">
        <v>735</v>
      </c>
      <c r="H132" s="570">
        <f aca="true" t="shared" si="40" ref="H132:H139">SUM(J132:K132)</f>
        <v>25796</v>
      </c>
      <c r="I132" s="604"/>
      <c r="J132" s="604"/>
      <c r="K132" s="570">
        <f>INDEX('[5]BC TT 85'!$A$12:$X$264,MATCH('[5]PL6243'!$B128,'[5]BC TT 85'!$B$12:$B$264,0),5)</f>
        <v>25796</v>
      </c>
      <c r="L132" s="571">
        <f aca="true" t="shared" si="41" ref="L132:L139">SUM(M132:O132)</f>
        <v>13608.621</v>
      </c>
      <c r="M132" s="571"/>
      <c r="N132" s="571"/>
      <c r="O132" s="571">
        <f>'[6]CQTH1 chỉnh ngày 21032019'!$X$130</f>
        <v>13608.621</v>
      </c>
      <c r="P132" s="571">
        <v>13836.725999999999</v>
      </c>
      <c r="Q132" s="571"/>
      <c r="R132" s="571"/>
      <c r="S132" s="571">
        <v>13836.725999999999</v>
      </c>
      <c r="T132" s="571">
        <v>58.163</v>
      </c>
      <c r="U132" s="571"/>
      <c r="V132" s="571"/>
      <c r="W132" s="571"/>
      <c r="X132" s="572">
        <v>58.163</v>
      </c>
      <c r="Y132" s="572">
        <f>SUM(Z132:AC132)</f>
        <v>58.163</v>
      </c>
      <c r="Z132" s="572"/>
      <c r="AA132" s="572"/>
      <c r="AB132" s="572"/>
      <c r="AC132" s="572">
        <v>58.163</v>
      </c>
      <c r="AD132" s="607"/>
      <c r="AE132" s="580"/>
      <c r="AF132" s="580"/>
      <c r="AG132" s="607"/>
      <c r="AH132" s="608"/>
    </row>
    <row r="133" spans="1:34" ht="164.25" customHeight="1">
      <c r="A133" s="552"/>
      <c r="B133" s="584" t="s">
        <v>755</v>
      </c>
      <c r="C133" s="588" t="s">
        <v>657</v>
      </c>
      <c r="D133" s="589"/>
      <c r="E133" s="589">
        <v>7498196</v>
      </c>
      <c r="F133" s="589" t="s">
        <v>679</v>
      </c>
      <c r="G133" s="554" t="s">
        <v>756</v>
      </c>
      <c r="H133" s="570">
        <f t="shared" si="40"/>
        <v>26668.076</v>
      </c>
      <c r="I133" s="604"/>
      <c r="J133" s="604"/>
      <c r="K133" s="570">
        <f>INDEX('[5]BC TT 85'!$A$12:$X$264,MATCH('[5]PL6243'!$B129,'[5]BC TT 85'!$B$12:$B$264,0),5)</f>
        <v>26668.076</v>
      </c>
      <c r="L133" s="571">
        <f t="shared" si="41"/>
        <v>22874.949</v>
      </c>
      <c r="M133" s="571"/>
      <c r="N133" s="571"/>
      <c r="O133" s="571">
        <f>INDEX('[5]BC TT 85'!$A$12:$X$264,MATCH('[5]PL6243'!$B129,'[5]BC TT 85'!$B$12:$B$264,0),24)</f>
        <v>22874.949</v>
      </c>
      <c r="P133" s="571">
        <v>23015.262</v>
      </c>
      <c r="Q133" s="571"/>
      <c r="R133" s="571"/>
      <c r="S133" s="571">
        <v>23015.262</v>
      </c>
      <c r="T133" s="571">
        <v>5736.9580000000005</v>
      </c>
      <c r="U133" s="571"/>
      <c r="V133" s="571"/>
      <c r="W133" s="571"/>
      <c r="X133" s="572">
        <v>5736.9580000000005</v>
      </c>
      <c r="Y133" s="572">
        <f aca="true" t="shared" si="42" ref="Y133:Y139">SUM(Z133:AC133)</f>
        <v>5498.678</v>
      </c>
      <c r="Z133" s="572"/>
      <c r="AA133" s="572"/>
      <c r="AB133" s="572"/>
      <c r="AC133" s="572">
        <f>+INDEX('[5]BC TT 85'!$A$12:$X$264,MATCH('[5]PL6243'!$B129,'[5]BC TT 85'!$B$12:$B$264,0),22)</f>
        <v>5498.678</v>
      </c>
      <c r="AD133" s="585">
        <f aca="true" t="shared" si="43" ref="AD133:AD140">Y133/T133</f>
        <v>0.9584657931956273</v>
      </c>
      <c r="AE133" s="586"/>
      <c r="AF133" s="586"/>
      <c r="AG133" s="585"/>
      <c r="AH133" s="587">
        <f aca="true" t="shared" si="44" ref="AH133:AH140">AC133/X133</f>
        <v>0.9584657931956273</v>
      </c>
    </row>
    <row r="134" spans="1:34" ht="76.5">
      <c r="A134" s="552"/>
      <c r="B134" s="584" t="s">
        <v>757</v>
      </c>
      <c r="C134" s="588" t="s">
        <v>690</v>
      </c>
      <c r="D134" s="589"/>
      <c r="E134" s="589">
        <v>7567685</v>
      </c>
      <c r="F134" s="589" t="s">
        <v>758</v>
      </c>
      <c r="G134" s="554" t="s">
        <v>759</v>
      </c>
      <c r="H134" s="570">
        <f t="shared" si="40"/>
        <v>6771.195</v>
      </c>
      <c r="I134" s="604"/>
      <c r="J134" s="604"/>
      <c r="K134" s="570">
        <f>INDEX('[5]BC TT 85'!$A$12:$X$264,MATCH('[5]PL6243'!$B130,'[5]BC TT 85'!$B$12:$B$264,0),5)</f>
        <v>6771.195</v>
      </c>
      <c r="L134" s="571">
        <f t="shared" si="41"/>
        <v>3630</v>
      </c>
      <c r="M134" s="571"/>
      <c r="N134" s="571"/>
      <c r="O134" s="571">
        <f>INDEX('[5]BC TT 85'!$A$12:$X$264,MATCH('[5]PL6243'!$B130,'[5]BC TT 85'!$B$12:$B$264,0),24)</f>
        <v>3630</v>
      </c>
      <c r="P134" s="571">
        <v>3630</v>
      </c>
      <c r="Q134" s="571"/>
      <c r="R134" s="571"/>
      <c r="S134" s="571">
        <v>3630</v>
      </c>
      <c r="T134" s="570">
        <v>3630</v>
      </c>
      <c r="U134" s="570"/>
      <c r="V134" s="570"/>
      <c r="W134" s="570"/>
      <c r="X134" s="572">
        <v>3630</v>
      </c>
      <c r="Y134" s="572">
        <f t="shared" si="42"/>
        <v>3210.825</v>
      </c>
      <c r="Z134" s="572"/>
      <c r="AA134" s="572"/>
      <c r="AB134" s="572"/>
      <c r="AC134" s="572">
        <f>+INDEX('[5]BC TT 85'!$A$12:$X$264,MATCH('[5]PL6243'!$B130,'[5]BC TT 85'!$B$12:$B$264,0),22)</f>
        <v>3210.825</v>
      </c>
      <c r="AD134" s="585">
        <f t="shared" si="43"/>
        <v>0.8845247933884297</v>
      </c>
      <c r="AE134" s="586"/>
      <c r="AF134" s="586"/>
      <c r="AG134" s="585"/>
      <c r="AH134" s="587">
        <f t="shared" si="44"/>
        <v>0.8845247933884297</v>
      </c>
    </row>
    <row r="135" spans="1:34" ht="89.25">
      <c r="A135" s="552"/>
      <c r="B135" s="584" t="s">
        <v>760</v>
      </c>
      <c r="C135" s="588" t="s">
        <v>671</v>
      </c>
      <c r="D135" s="589"/>
      <c r="E135" s="589">
        <v>7649545</v>
      </c>
      <c r="F135" s="589" t="s">
        <v>683</v>
      </c>
      <c r="G135" s="554" t="s">
        <v>761</v>
      </c>
      <c r="H135" s="570">
        <f t="shared" si="40"/>
        <v>2663.534</v>
      </c>
      <c r="I135" s="604"/>
      <c r="J135" s="604"/>
      <c r="K135" s="570">
        <f>INDEX('[5]BC TT 85'!$A$12:$X$264,MATCH('[5]PL6243'!$B131,'[5]BC TT 85'!$B$12:$B$264,0),5)</f>
        <v>2663.534</v>
      </c>
      <c r="L135" s="571">
        <f t="shared" si="41"/>
        <v>1542.185</v>
      </c>
      <c r="M135" s="571"/>
      <c r="N135" s="571"/>
      <c r="O135" s="571">
        <f>INDEX('[5]BC TT 85'!$A$12:$X$264,MATCH('[5]PL6243'!$B131,'[5]BC TT 85'!$B$12:$B$264,0),24)</f>
        <v>1542.185</v>
      </c>
      <c r="P135" s="571">
        <v>1690</v>
      </c>
      <c r="Q135" s="571"/>
      <c r="R135" s="571"/>
      <c r="S135" s="571">
        <v>1690</v>
      </c>
      <c r="T135" s="570">
        <v>1690</v>
      </c>
      <c r="U135" s="570"/>
      <c r="V135" s="570"/>
      <c r="W135" s="570"/>
      <c r="X135" s="572">
        <v>1690</v>
      </c>
      <c r="Y135" s="572">
        <f t="shared" si="42"/>
        <v>1138.987</v>
      </c>
      <c r="Z135" s="572"/>
      <c r="AA135" s="572"/>
      <c r="AB135" s="572"/>
      <c r="AC135" s="572">
        <f>+INDEX('[5]BC TT 85'!$A$12:$X$264,MATCH('[5]PL6243'!$B131,'[5]BC TT 85'!$B$12:$B$264,0),22)</f>
        <v>1138.987</v>
      </c>
      <c r="AD135" s="585">
        <f t="shared" si="43"/>
        <v>0.6739568047337279</v>
      </c>
      <c r="AE135" s="586"/>
      <c r="AF135" s="586"/>
      <c r="AG135" s="585"/>
      <c r="AH135" s="587">
        <f t="shared" si="44"/>
        <v>0.6739568047337279</v>
      </c>
    </row>
    <row r="136" spans="1:34" ht="40.5">
      <c r="A136" s="552"/>
      <c r="B136" s="584" t="s">
        <v>762</v>
      </c>
      <c r="C136" s="588" t="s">
        <v>698</v>
      </c>
      <c r="D136" s="589"/>
      <c r="E136" s="589">
        <v>7577833</v>
      </c>
      <c r="F136" s="589" t="s">
        <v>661</v>
      </c>
      <c r="G136" s="554" t="s">
        <v>763</v>
      </c>
      <c r="H136" s="570">
        <f t="shared" si="40"/>
        <v>12089.768</v>
      </c>
      <c r="I136" s="604"/>
      <c r="J136" s="604"/>
      <c r="K136" s="570">
        <f>INDEX('[5]BC TT 85'!$A$12:$X$264,MATCH('[5]PL6243'!$B132,'[5]BC TT 85'!$B$12:$B$264,0),5)</f>
        <v>12089.768</v>
      </c>
      <c r="L136" s="571">
        <f t="shared" si="41"/>
        <v>7709.507</v>
      </c>
      <c r="M136" s="571"/>
      <c r="N136" s="571"/>
      <c r="O136" s="571">
        <f>INDEX('[5]BC TT 85'!$A$12:$X$264,MATCH('[5]PL6243'!$B132,'[5]BC TT 85'!$B$12:$B$264,0),24)</f>
        <v>7709.507</v>
      </c>
      <c r="P136" s="571">
        <v>8400</v>
      </c>
      <c r="Q136" s="571"/>
      <c r="R136" s="571"/>
      <c r="S136" s="571">
        <v>8400</v>
      </c>
      <c r="T136" s="570">
        <v>8400</v>
      </c>
      <c r="U136" s="570"/>
      <c r="V136" s="570"/>
      <c r="W136" s="570"/>
      <c r="X136" s="572">
        <v>8400</v>
      </c>
      <c r="Y136" s="572">
        <f t="shared" si="42"/>
        <v>7709.507</v>
      </c>
      <c r="Z136" s="572"/>
      <c r="AA136" s="572"/>
      <c r="AB136" s="572"/>
      <c r="AC136" s="572">
        <f>+INDEX('[5]BC TT 85'!$A$12:$X$264,MATCH('[5]PL6243'!$B132,'[5]BC TT 85'!$B$12:$B$264,0),22)</f>
        <v>7709.507</v>
      </c>
      <c r="AD136" s="585">
        <f t="shared" si="43"/>
        <v>0.9177984523809524</v>
      </c>
      <c r="AE136" s="586"/>
      <c r="AF136" s="586"/>
      <c r="AG136" s="585"/>
      <c r="AH136" s="587">
        <f t="shared" si="44"/>
        <v>0.9177984523809524</v>
      </c>
    </row>
    <row r="137" spans="1:34" ht="76.5">
      <c r="A137" s="552"/>
      <c r="B137" s="584" t="s">
        <v>685</v>
      </c>
      <c r="C137" s="588" t="s">
        <v>686</v>
      </c>
      <c r="D137" s="589"/>
      <c r="E137" s="589">
        <v>7479789</v>
      </c>
      <c r="F137" s="589" t="s">
        <v>687</v>
      </c>
      <c r="G137" s="554" t="s">
        <v>688</v>
      </c>
      <c r="H137" s="570">
        <f t="shared" si="40"/>
        <v>97442</v>
      </c>
      <c r="I137" s="604"/>
      <c r="J137" s="604"/>
      <c r="K137" s="570">
        <v>97442</v>
      </c>
      <c r="L137" s="571">
        <f t="shared" si="41"/>
        <v>26214</v>
      </c>
      <c r="M137" s="571"/>
      <c r="N137" s="571"/>
      <c r="O137" s="571">
        <v>26214</v>
      </c>
      <c r="P137" s="571">
        <v>26214</v>
      </c>
      <c r="Q137" s="571"/>
      <c r="R137" s="571"/>
      <c r="S137" s="571">
        <v>26214</v>
      </c>
      <c r="T137" s="570">
        <v>26214</v>
      </c>
      <c r="U137" s="570"/>
      <c r="V137" s="570"/>
      <c r="W137" s="570"/>
      <c r="X137" s="572">
        <v>26214</v>
      </c>
      <c r="Y137" s="572">
        <f t="shared" si="42"/>
        <v>25093.915</v>
      </c>
      <c r="Z137" s="572"/>
      <c r="AA137" s="572"/>
      <c r="AB137" s="572"/>
      <c r="AC137" s="572">
        <v>25093.915</v>
      </c>
      <c r="AD137" s="585">
        <f t="shared" si="43"/>
        <v>0.9572714961470971</v>
      </c>
      <c r="AE137" s="586"/>
      <c r="AF137" s="586"/>
      <c r="AG137" s="585"/>
      <c r="AH137" s="587">
        <f t="shared" si="44"/>
        <v>0.9572714961470971</v>
      </c>
    </row>
    <row r="138" spans="1:34" ht="114.75">
      <c r="A138" s="552"/>
      <c r="B138" s="584" t="s">
        <v>764</v>
      </c>
      <c r="C138" s="588" t="s">
        <v>667</v>
      </c>
      <c r="D138" s="589"/>
      <c r="E138" s="589">
        <v>7410508</v>
      </c>
      <c r="F138" s="589" t="s">
        <v>765</v>
      </c>
      <c r="G138" s="554" t="s">
        <v>766</v>
      </c>
      <c r="H138" s="570">
        <f t="shared" si="40"/>
        <v>22013.406</v>
      </c>
      <c r="I138" s="604"/>
      <c r="J138" s="604"/>
      <c r="K138" s="570">
        <f>INDEX('[5]BC TT 85'!$A$12:$X$264,MATCH('[5]PL6243'!$B134,'[5]BC TT 85'!$B$12:$B$264,0),5)</f>
        <v>22013.406</v>
      </c>
      <c r="L138" s="571">
        <f t="shared" si="41"/>
        <v>1406.598</v>
      </c>
      <c r="M138" s="571"/>
      <c r="N138" s="571"/>
      <c r="O138" s="571">
        <f>INDEX('[5]BC TT 85'!$A$12:$X$264,MATCH('[5]PL6243'!$B134,'[5]BC TT 85'!$B$12:$B$264,0),24)</f>
        <v>1406.598</v>
      </c>
      <c r="P138" s="571">
        <v>1545</v>
      </c>
      <c r="Q138" s="571"/>
      <c r="R138" s="571"/>
      <c r="S138" s="571">
        <v>1545</v>
      </c>
      <c r="T138" s="570">
        <v>1545</v>
      </c>
      <c r="U138" s="570"/>
      <c r="V138" s="570"/>
      <c r="W138" s="570"/>
      <c r="X138" s="572">
        <v>1545</v>
      </c>
      <c r="Y138" s="572">
        <f t="shared" si="42"/>
        <v>1406.598</v>
      </c>
      <c r="Z138" s="572"/>
      <c r="AA138" s="572"/>
      <c r="AB138" s="572"/>
      <c r="AC138" s="572">
        <f>+INDEX('[5]BC TT 85'!$A$12:$X$264,MATCH('[5]PL6243'!$B134,'[5]BC TT 85'!$B$12:$B$264,0),22)</f>
        <v>1406.598</v>
      </c>
      <c r="AD138" s="585">
        <f t="shared" si="43"/>
        <v>0.9104194174757281</v>
      </c>
      <c r="AE138" s="586"/>
      <c r="AF138" s="586"/>
      <c r="AG138" s="585"/>
      <c r="AH138" s="587">
        <f t="shared" si="44"/>
        <v>0.9104194174757281</v>
      </c>
    </row>
    <row r="139" spans="1:34" ht="40.5">
      <c r="A139" s="552"/>
      <c r="B139" s="584" t="s">
        <v>767</v>
      </c>
      <c r="C139" s="588" t="s">
        <v>667</v>
      </c>
      <c r="D139" s="589"/>
      <c r="E139" s="589" t="s">
        <v>768</v>
      </c>
      <c r="F139" s="589" t="s">
        <v>769</v>
      </c>
      <c r="G139" s="554" t="s">
        <v>770</v>
      </c>
      <c r="H139" s="570">
        <f t="shared" si="40"/>
        <v>27416.225</v>
      </c>
      <c r="I139" s="604"/>
      <c r="J139" s="604"/>
      <c r="K139" s="570">
        <f>INDEX('[5]BC TT 85'!$A$12:$X$264,MATCH('[5]PL6243'!$B135,'[5]BC TT 85'!$B$12:$B$264,0),5)</f>
        <v>27416.225</v>
      </c>
      <c r="L139" s="571">
        <f t="shared" si="41"/>
        <v>400</v>
      </c>
      <c r="M139" s="571"/>
      <c r="N139" s="571"/>
      <c r="O139" s="571">
        <f>INDEX('[5]BC TT 85'!$A$12:$X$264,MATCH('[5]PL6243'!$B135,'[5]BC TT 85'!$B$12:$B$264,0),24)</f>
        <v>400</v>
      </c>
      <c r="P139" s="571">
        <v>400</v>
      </c>
      <c r="Q139" s="571"/>
      <c r="R139" s="571"/>
      <c r="S139" s="571">
        <v>400</v>
      </c>
      <c r="T139" s="570">
        <v>400</v>
      </c>
      <c r="U139" s="570"/>
      <c r="V139" s="570"/>
      <c r="W139" s="570"/>
      <c r="X139" s="572">
        <v>400</v>
      </c>
      <c r="Y139" s="572">
        <f t="shared" si="42"/>
        <v>400</v>
      </c>
      <c r="Z139" s="572"/>
      <c r="AA139" s="572"/>
      <c r="AB139" s="572"/>
      <c r="AC139" s="572">
        <f>+INDEX('[5]BC TT 85'!$A$12:$X$264,MATCH('[5]PL6243'!$B135,'[5]BC TT 85'!$B$12:$B$264,0),22)</f>
        <v>400</v>
      </c>
      <c r="AD139" s="585">
        <f t="shared" si="43"/>
        <v>1</v>
      </c>
      <c r="AE139" s="586"/>
      <c r="AF139" s="586"/>
      <c r="AG139" s="585"/>
      <c r="AH139" s="587">
        <f t="shared" si="44"/>
        <v>1</v>
      </c>
    </row>
    <row r="140" spans="1:34" ht="76.5">
      <c r="A140" s="552"/>
      <c r="B140" s="584" t="s">
        <v>388</v>
      </c>
      <c r="C140" s="588" t="s">
        <v>660</v>
      </c>
      <c r="D140" s="589"/>
      <c r="E140" s="589">
        <v>7549256</v>
      </c>
      <c r="F140" s="589" t="s">
        <v>675</v>
      </c>
      <c r="G140" s="554" t="s">
        <v>771</v>
      </c>
      <c r="H140" s="590">
        <f>SUM(J140:K140)</f>
        <v>3246.315</v>
      </c>
      <c r="I140" s="590"/>
      <c r="J140" s="590"/>
      <c r="K140" s="570">
        <f>INDEX('[7]CQTH1'!$A$12:$X$261,MATCH(B140,'[7]CQTH1'!$B$12:$B$261,0),5)</f>
        <v>3246.315</v>
      </c>
      <c r="L140" s="571">
        <f>SUM(M140:O140)</f>
        <v>2825.2349999999997</v>
      </c>
      <c r="M140" s="571"/>
      <c r="N140" s="571"/>
      <c r="O140" s="571">
        <f>INDEX('[5]BC TT 85'!$A$12:$X$264,MATCH('[5]PL6243'!$B136,'[5]BC TT 85'!$B$12:$B$264,0),24)</f>
        <v>2825.2349999999997</v>
      </c>
      <c r="P140" s="571">
        <v>2842.131</v>
      </c>
      <c r="Q140" s="571"/>
      <c r="R140" s="571"/>
      <c r="S140" s="571">
        <v>2842.131</v>
      </c>
      <c r="T140" s="571">
        <v>199.047</v>
      </c>
      <c r="U140" s="571"/>
      <c r="V140" s="571"/>
      <c r="W140" s="571"/>
      <c r="X140" s="572">
        <v>199.047</v>
      </c>
      <c r="Y140" s="572">
        <f>SUM(AA140:AC140)</f>
        <v>180.548</v>
      </c>
      <c r="Z140" s="626"/>
      <c r="AA140" s="626"/>
      <c r="AB140" s="626"/>
      <c r="AC140" s="572">
        <f>+INDEX('[5]BC TT 85'!A110:X362,MATCH('[5]PL6243'!B136,'[5]BC TT 85'!B110:B362,0),22)</f>
        <v>180.548</v>
      </c>
      <c r="AD140" s="585">
        <f t="shared" si="43"/>
        <v>0.9070621511502309</v>
      </c>
      <c r="AE140" s="586"/>
      <c r="AF140" s="586"/>
      <c r="AG140" s="585"/>
      <c r="AH140" s="587">
        <f t="shared" si="44"/>
        <v>0.9070621511502309</v>
      </c>
    </row>
    <row r="141" spans="1:34" ht="27">
      <c r="A141" s="552"/>
      <c r="B141" s="582" t="s">
        <v>309</v>
      </c>
      <c r="C141" s="588"/>
      <c r="D141" s="589"/>
      <c r="E141" s="589"/>
      <c r="F141" s="589"/>
      <c r="G141" s="589"/>
      <c r="H141" s="590"/>
      <c r="I141" s="590"/>
      <c r="J141" s="590"/>
      <c r="K141" s="590"/>
      <c r="L141" s="591"/>
      <c r="M141" s="591"/>
      <c r="N141" s="591"/>
      <c r="O141" s="591"/>
      <c r="P141" s="591"/>
      <c r="Q141" s="591"/>
      <c r="R141" s="591"/>
      <c r="S141" s="591"/>
      <c r="T141" s="590"/>
      <c r="U141" s="590"/>
      <c r="V141" s="590"/>
      <c r="W141" s="590"/>
      <c r="X141" s="590"/>
      <c r="Y141" s="592"/>
      <c r="Z141" s="605"/>
      <c r="AA141" s="605"/>
      <c r="AB141" s="605"/>
      <c r="AC141" s="605"/>
      <c r="AD141" s="585"/>
      <c r="AE141" s="586"/>
      <c r="AF141" s="586"/>
      <c r="AG141" s="585"/>
      <c r="AH141" s="587"/>
    </row>
    <row r="142" spans="1:34" ht="15.75">
      <c r="A142" s="552"/>
      <c r="B142" s="569" t="s">
        <v>310</v>
      </c>
      <c r="C142" s="588"/>
      <c r="D142" s="589"/>
      <c r="E142" s="589"/>
      <c r="F142" s="589"/>
      <c r="G142" s="589"/>
      <c r="H142" s="590"/>
      <c r="I142" s="590"/>
      <c r="J142" s="590"/>
      <c r="K142" s="590"/>
      <c r="L142" s="591"/>
      <c r="M142" s="591"/>
      <c r="N142" s="591"/>
      <c r="O142" s="591"/>
      <c r="P142" s="591"/>
      <c r="Q142" s="591"/>
      <c r="R142" s="591"/>
      <c r="S142" s="591"/>
      <c r="T142" s="590"/>
      <c r="U142" s="590"/>
      <c r="V142" s="590"/>
      <c r="W142" s="590"/>
      <c r="X142" s="590"/>
      <c r="Y142" s="592"/>
      <c r="Z142" s="605"/>
      <c r="AA142" s="605"/>
      <c r="AB142" s="605"/>
      <c r="AC142" s="605"/>
      <c r="AD142" s="585"/>
      <c r="AE142" s="586"/>
      <c r="AF142" s="586"/>
      <c r="AG142" s="585"/>
      <c r="AH142" s="587"/>
    </row>
    <row r="143" spans="1:34" ht="15.75">
      <c r="A143" s="552"/>
      <c r="B143" s="569" t="s">
        <v>311</v>
      </c>
      <c r="C143" s="588"/>
      <c r="D143" s="589"/>
      <c r="E143" s="589"/>
      <c r="F143" s="589"/>
      <c r="G143" s="589"/>
      <c r="H143" s="590"/>
      <c r="I143" s="590"/>
      <c r="J143" s="590"/>
      <c r="K143" s="590"/>
      <c r="L143" s="591"/>
      <c r="M143" s="591"/>
      <c r="N143" s="591"/>
      <c r="O143" s="591"/>
      <c r="P143" s="591"/>
      <c r="Q143" s="591"/>
      <c r="R143" s="591"/>
      <c r="S143" s="591"/>
      <c r="T143" s="590"/>
      <c r="U143" s="590"/>
      <c r="V143" s="590"/>
      <c r="W143" s="590"/>
      <c r="X143" s="590"/>
      <c r="Y143" s="592"/>
      <c r="Z143" s="605"/>
      <c r="AA143" s="605"/>
      <c r="AB143" s="605"/>
      <c r="AC143" s="605"/>
      <c r="AD143" s="585"/>
      <c r="AE143" s="586"/>
      <c r="AF143" s="586"/>
      <c r="AG143" s="585"/>
      <c r="AH143" s="587"/>
    </row>
    <row r="144" spans="1:34" ht="15.75">
      <c r="A144" s="552"/>
      <c r="B144" s="569" t="s">
        <v>312</v>
      </c>
      <c r="C144" s="588"/>
      <c r="D144" s="589"/>
      <c r="E144" s="589"/>
      <c r="F144" s="589"/>
      <c r="G144" s="589"/>
      <c r="H144" s="611">
        <f>H145</f>
        <v>13987.713</v>
      </c>
      <c r="I144" s="611">
        <f aca="true" t="shared" si="45" ref="I144:AC144">I145</f>
        <v>0</v>
      </c>
      <c r="J144" s="611">
        <f t="shared" si="45"/>
        <v>0</v>
      </c>
      <c r="K144" s="611">
        <f t="shared" si="45"/>
        <v>13987.713</v>
      </c>
      <c r="L144" s="594">
        <f t="shared" si="45"/>
        <v>2999.115</v>
      </c>
      <c r="M144" s="594">
        <f t="shared" si="45"/>
        <v>0</v>
      </c>
      <c r="N144" s="594">
        <f t="shared" si="45"/>
        <v>0</v>
      </c>
      <c r="O144" s="594">
        <f t="shared" si="45"/>
        <v>2999.115</v>
      </c>
      <c r="P144" s="595">
        <v>2999.115</v>
      </c>
      <c r="Q144" s="595">
        <v>0</v>
      </c>
      <c r="R144" s="595">
        <v>0</v>
      </c>
      <c r="S144" s="595">
        <v>2999.115</v>
      </c>
      <c r="T144" s="595">
        <v>2369.076</v>
      </c>
      <c r="U144" s="595">
        <v>0</v>
      </c>
      <c r="V144" s="595">
        <v>0</v>
      </c>
      <c r="W144" s="595">
        <v>0</v>
      </c>
      <c r="X144" s="595">
        <v>2369.076</v>
      </c>
      <c r="Y144" s="601">
        <f t="shared" si="45"/>
        <v>1483.885</v>
      </c>
      <c r="Z144" s="606">
        <f t="shared" si="45"/>
        <v>0</v>
      </c>
      <c r="AA144" s="606">
        <f t="shared" si="45"/>
        <v>0</v>
      </c>
      <c r="AB144" s="606">
        <f t="shared" si="45"/>
        <v>0</v>
      </c>
      <c r="AC144" s="601">
        <f t="shared" si="45"/>
        <v>1483.885</v>
      </c>
      <c r="AD144" s="547"/>
      <c r="AE144" s="559"/>
      <c r="AF144" s="559"/>
      <c r="AG144" s="547"/>
      <c r="AH144" s="550"/>
    </row>
    <row r="145" spans="1:34" s="636" customFormat="1" ht="38.25">
      <c r="A145" s="629"/>
      <c r="B145" s="630" t="s">
        <v>390</v>
      </c>
      <c r="C145" s="631" t="s">
        <v>698</v>
      </c>
      <c r="D145" s="632"/>
      <c r="E145" s="632">
        <v>7618070</v>
      </c>
      <c r="F145" s="631" t="s">
        <v>683</v>
      </c>
      <c r="G145" s="631" t="s">
        <v>772</v>
      </c>
      <c r="H145" s="605">
        <f>SUM(J145:K145)</f>
        <v>13987.713</v>
      </c>
      <c r="I145" s="605"/>
      <c r="J145" s="605"/>
      <c r="K145" s="626">
        <f>INDEX('[7]CQTH1'!$A$12:$X$261,MATCH(B145,'[7]CQTH1'!$B$12:$B$261,0),5)</f>
        <v>13987.713</v>
      </c>
      <c r="L145" s="572">
        <f>SUM(M145:O145)</f>
        <v>2999.115</v>
      </c>
      <c r="M145" s="572"/>
      <c r="N145" s="572"/>
      <c r="O145" s="572">
        <f>INDEX('[5]BC TT 85'!$A$12:$X$264,MATCH('[5]PL6243'!$B141,'[5]BC TT 85'!$B$12:$B$264,0),24)</f>
        <v>2999.115</v>
      </c>
      <c r="P145" s="572">
        <v>2999.115</v>
      </c>
      <c r="Q145" s="572"/>
      <c r="R145" s="572"/>
      <c r="S145" s="572">
        <v>2999.115</v>
      </c>
      <c r="T145" s="572">
        <v>2369.076</v>
      </c>
      <c r="U145" s="572"/>
      <c r="V145" s="572"/>
      <c r="W145" s="572"/>
      <c r="X145" s="572">
        <v>2369.076</v>
      </c>
      <c r="Y145" s="572">
        <f>SUM(AA145:AC145)</f>
        <v>1483.885</v>
      </c>
      <c r="Z145" s="626"/>
      <c r="AA145" s="626"/>
      <c r="AB145" s="626"/>
      <c r="AC145" s="572">
        <f>+INDEX('[5]BC TT 85'!A115:X367,MATCH('[5]PL6243'!B141,'[5]BC TT 85'!B115:B367,0),22)</f>
        <v>1483.885</v>
      </c>
      <c r="AD145" s="633"/>
      <c r="AE145" s="634"/>
      <c r="AF145" s="634"/>
      <c r="AG145" s="633"/>
      <c r="AH145" s="635"/>
    </row>
    <row r="146" spans="1:34" ht="15.75">
      <c r="A146" s="552"/>
      <c r="B146" s="569" t="s">
        <v>313</v>
      </c>
      <c r="C146" s="588"/>
      <c r="D146" s="589"/>
      <c r="E146" s="589"/>
      <c r="F146" s="589"/>
      <c r="G146" s="589"/>
      <c r="H146" s="590"/>
      <c r="I146" s="590"/>
      <c r="J146" s="590"/>
      <c r="K146" s="590"/>
      <c r="L146" s="591"/>
      <c r="M146" s="591"/>
      <c r="N146" s="591"/>
      <c r="O146" s="591"/>
      <c r="P146" s="591"/>
      <c r="Q146" s="591"/>
      <c r="R146" s="591"/>
      <c r="S146" s="591"/>
      <c r="T146" s="590"/>
      <c r="U146" s="590"/>
      <c r="V146" s="590"/>
      <c r="W146" s="590"/>
      <c r="X146" s="590"/>
      <c r="Y146" s="592"/>
      <c r="Z146" s="605"/>
      <c r="AA146" s="605"/>
      <c r="AB146" s="605"/>
      <c r="AC146" s="605"/>
      <c r="AD146" s="585"/>
      <c r="AE146" s="586"/>
      <c r="AF146" s="586"/>
      <c r="AG146" s="585"/>
      <c r="AH146" s="587"/>
    </row>
    <row r="147" spans="1:34" s="613" customFormat="1" ht="15.75">
      <c r="A147" s="553"/>
      <c r="B147" s="582" t="s">
        <v>391</v>
      </c>
      <c r="C147" s="599"/>
      <c r="D147" s="600"/>
      <c r="E147" s="600"/>
      <c r="F147" s="600"/>
      <c r="G147" s="600"/>
      <c r="H147" s="611"/>
      <c r="I147" s="611"/>
      <c r="J147" s="611"/>
      <c r="K147" s="611"/>
      <c r="L147" s="594"/>
      <c r="M147" s="594"/>
      <c r="N147" s="594"/>
      <c r="O147" s="594"/>
      <c r="P147" s="594">
        <v>3855</v>
      </c>
      <c r="Q147" s="594"/>
      <c r="R147" s="594"/>
      <c r="S147" s="594">
        <v>3855</v>
      </c>
      <c r="T147" s="611">
        <v>3855</v>
      </c>
      <c r="U147" s="611"/>
      <c r="V147" s="611"/>
      <c r="W147" s="611"/>
      <c r="X147" s="611">
        <v>3855</v>
      </c>
      <c r="Y147" s="601"/>
      <c r="Z147" s="606"/>
      <c r="AA147" s="606"/>
      <c r="AB147" s="606"/>
      <c r="AC147" s="594"/>
      <c r="AD147" s="596"/>
      <c r="AE147" s="597"/>
      <c r="AF147" s="597"/>
      <c r="AG147" s="596"/>
      <c r="AH147" s="598"/>
    </row>
    <row r="148" spans="1:34" ht="15.75">
      <c r="A148" s="552" t="s">
        <v>32</v>
      </c>
      <c r="B148" s="561" t="s">
        <v>392</v>
      </c>
      <c r="C148" s="588"/>
      <c r="D148" s="589"/>
      <c r="E148" s="589"/>
      <c r="F148" s="589"/>
      <c r="G148" s="589"/>
      <c r="H148" s="611">
        <f aca="true" t="shared" si="46" ref="H148:AC148">H149+H152+H160+H155</f>
        <v>42475.649</v>
      </c>
      <c r="I148" s="611">
        <f t="shared" si="46"/>
        <v>0</v>
      </c>
      <c r="J148" s="611">
        <f t="shared" si="46"/>
        <v>0</v>
      </c>
      <c r="K148" s="611">
        <f t="shared" si="46"/>
        <v>42475.649</v>
      </c>
      <c r="L148" s="594">
        <f t="shared" si="46"/>
        <v>23088.990999999998</v>
      </c>
      <c r="M148" s="594">
        <f t="shared" si="46"/>
        <v>0</v>
      </c>
      <c r="N148" s="594">
        <f t="shared" si="46"/>
        <v>0</v>
      </c>
      <c r="O148" s="594">
        <f t="shared" si="46"/>
        <v>23088.990999999998</v>
      </c>
      <c r="P148" s="595">
        <v>28111.753</v>
      </c>
      <c r="Q148" s="595">
        <v>0</v>
      </c>
      <c r="R148" s="595">
        <v>0</v>
      </c>
      <c r="S148" s="595">
        <v>28111.753</v>
      </c>
      <c r="T148" s="612">
        <v>3526.646</v>
      </c>
      <c r="U148" s="612">
        <v>0</v>
      </c>
      <c r="V148" s="612">
        <v>0</v>
      </c>
      <c r="W148" s="612">
        <v>0</v>
      </c>
      <c r="X148" s="612">
        <v>3526.646</v>
      </c>
      <c r="Y148" s="601">
        <f t="shared" si="46"/>
        <v>2258.842</v>
      </c>
      <c r="Z148" s="606">
        <f t="shared" si="46"/>
        <v>0</v>
      </c>
      <c r="AA148" s="606">
        <f t="shared" si="46"/>
        <v>0</v>
      </c>
      <c r="AB148" s="602">
        <f t="shared" si="46"/>
        <v>0</v>
      </c>
      <c r="AC148" s="595">
        <f t="shared" si="46"/>
        <v>2258.842</v>
      </c>
      <c r="AD148" s="547">
        <f>Y148/T148</f>
        <v>0.6405071560910849</v>
      </c>
      <c r="AE148" s="559"/>
      <c r="AF148" s="559"/>
      <c r="AG148" s="547"/>
      <c r="AH148" s="550">
        <f>AC148/X148</f>
        <v>0.6405071560910849</v>
      </c>
    </row>
    <row r="149" spans="1:34" ht="27">
      <c r="A149" s="552"/>
      <c r="B149" s="561" t="s">
        <v>393</v>
      </c>
      <c r="C149" s="588"/>
      <c r="D149" s="589"/>
      <c r="E149" s="589"/>
      <c r="F149" s="589"/>
      <c r="G149" s="589"/>
      <c r="H149" s="611">
        <f>H150</f>
        <v>7445.411</v>
      </c>
      <c r="I149" s="611">
        <f aca="true" t="shared" si="47" ref="I149:AC150">I150</f>
        <v>0</v>
      </c>
      <c r="J149" s="611">
        <f t="shared" si="47"/>
        <v>0</v>
      </c>
      <c r="K149" s="611">
        <f t="shared" si="47"/>
        <v>7445.411</v>
      </c>
      <c r="L149" s="594">
        <f t="shared" si="47"/>
        <v>2061.601</v>
      </c>
      <c r="M149" s="594">
        <f t="shared" si="47"/>
        <v>0</v>
      </c>
      <c r="N149" s="594">
        <f t="shared" si="47"/>
        <v>0</v>
      </c>
      <c r="O149" s="594">
        <f t="shared" si="47"/>
        <v>2061.601</v>
      </c>
      <c r="P149" s="595">
        <v>2403.789</v>
      </c>
      <c r="Q149" s="595">
        <v>0</v>
      </c>
      <c r="R149" s="595">
        <v>0</v>
      </c>
      <c r="S149" s="595">
        <v>2403.789</v>
      </c>
      <c r="T149" s="595">
        <v>632.469</v>
      </c>
      <c r="U149" s="595">
        <v>0</v>
      </c>
      <c r="V149" s="595">
        <v>0</v>
      </c>
      <c r="W149" s="595">
        <v>0</v>
      </c>
      <c r="X149" s="595">
        <v>632.469</v>
      </c>
      <c r="Y149" s="601">
        <f t="shared" si="47"/>
        <v>290.28100000000006</v>
      </c>
      <c r="Z149" s="606">
        <f t="shared" si="47"/>
        <v>0</v>
      </c>
      <c r="AA149" s="606">
        <f t="shared" si="47"/>
        <v>0</v>
      </c>
      <c r="AB149" s="606">
        <f t="shared" si="47"/>
        <v>0</v>
      </c>
      <c r="AC149" s="606">
        <f t="shared" si="47"/>
        <v>290.28100000000006</v>
      </c>
      <c r="AD149" s="547">
        <f>Y149/T149</f>
        <v>0.458964787206962</v>
      </c>
      <c r="AE149" s="559"/>
      <c r="AF149" s="559"/>
      <c r="AG149" s="547"/>
      <c r="AH149" s="550">
        <f>AC149/X149</f>
        <v>0.458964787206962</v>
      </c>
    </row>
    <row r="150" spans="1:34" ht="15.75">
      <c r="A150" s="552"/>
      <c r="B150" s="561" t="s">
        <v>394</v>
      </c>
      <c r="C150" s="588"/>
      <c r="D150" s="589"/>
      <c r="E150" s="589"/>
      <c r="F150" s="589"/>
      <c r="G150" s="589"/>
      <c r="H150" s="611">
        <f>H151</f>
        <v>7445.411</v>
      </c>
      <c r="I150" s="611">
        <f t="shared" si="47"/>
        <v>0</v>
      </c>
      <c r="J150" s="611">
        <f t="shared" si="47"/>
        <v>0</v>
      </c>
      <c r="K150" s="611">
        <f t="shared" si="47"/>
        <v>7445.411</v>
      </c>
      <c r="L150" s="594">
        <f t="shared" si="47"/>
        <v>2061.601</v>
      </c>
      <c r="M150" s="594">
        <f t="shared" si="47"/>
        <v>0</v>
      </c>
      <c r="N150" s="594">
        <f t="shared" si="47"/>
        <v>0</v>
      </c>
      <c r="O150" s="594">
        <f t="shared" si="47"/>
        <v>2061.601</v>
      </c>
      <c r="P150" s="595">
        <v>2403.789</v>
      </c>
      <c r="Q150" s="595">
        <v>0</v>
      </c>
      <c r="R150" s="595">
        <v>0</v>
      </c>
      <c r="S150" s="595">
        <v>2403.789</v>
      </c>
      <c r="T150" s="595">
        <v>632.469</v>
      </c>
      <c r="U150" s="595">
        <v>0</v>
      </c>
      <c r="V150" s="595">
        <v>0</v>
      </c>
      <c r="W150" s="595">
        <v>0</v>
      </c>
      <c r="X150" s="595">
        <v>632.469</v>
      </c>
      <c r="Y150" s="601">
        <f t="shared" si="47"/>
        <v>290.28100000000006</v>
      </c>
      <c r="Z150" s="606">
        <f t="shared" si="47"/>
        <v>0</v>
      </c>
      <c r="AA150" s="606">
        <f t="shared" si="47"/>
        <v>0</v>
      </c>
      <c r="AB150" s="606">
        <f t="shared" si="47"/>
        <v>0</v>
      </c>
      <c r="AC150" s="606">
        <f t="shared" si="47"/>
        <v>290.28100000000006</v>
      </c>
      <c r="AD150" s="547">
        <f>Y150/T150</f>
        <v>0.458964787206962</v>
      </c>
      <c r="AE150" s="559"/>
      <c r="AF150" s="559"/>
      <c r="AG150" s="547"/>
      <c r="AH150" s="550">
        <f>AC150/X150</f>
        <v>0.458964787206962</v>
      </c>
    </row>
    <row r="151" spans="1:34" s="636" customFormat="1" ht="38.25">
      <c r="A151" s="629"/>
      <c r="B151" s="630" t="s">
        <v>333</v>
      </c>
      <c r="C151" s="631" t="s">
        <v>665</v>
      </c>
      <c r="D151" s="632"/>
      <c r="E151" s="632">
        <v>7563027</v>
      </c>
      <c r="F151" s="631" t="s">
        <v>661</v>
      </c>
      <c r="G151" s="631" t="s">
        <v>666</v>
      </c>
      <c r="H151" s="590">
        <f>SUM(J151:K151)</f>
        <v>7445.411</v>
      </c>
      <c r="I151" s="590"/>
      <c r="J151" s="590"/>
      <c r="K151" s="570">
        <f>INDEX('[7]CQTH1'!$A$12:$X$261,MATCH(B151,'[7]CQTH1'!$B$12:$B$261,0),5)</f>
        <v>7445.411</v>
      </c>
      <c r="L151" s="571">
        <f>SUM(M151:O151)</f>
        <v>2061.601</v>
      </c>
      <c r="M151" s="571"/>
      <c r="N151" s="571"/>
      <c r="O151" s="571">
        <v>2061.601</v>
      </c>
      <c r="P151" s="571">
        <v>2403.789</v>
      </c>
      <c r="Q151" s="571"/>
      <c r="R151" s="571"/>
      <c r="S151" s="571">
        <v>2403.789</v>
      </c>
      <c r="T151" s="571">
        <v>632.469</v>
      </c>
      <c r="U151" s="571"/>
      <c r="V151" s="571"/>
      <c r="W151" s="571"/>
      <c r="X151" s="572">
        <v>632.469</v>
      </c>
      <c r="Y151" s="572">
        <f>SUM(AA151:AC151)</f>
        <v>290.28100000000006</v>
      </c>
      <c r="Z151" s="626"/>
      <c r="AA151" s="626"/>
      <c r="AB151" s="626"/>
      <c r="AC151" s="572">
        <f>+INDEX('[5]BC TT 85'!A121:X373,MATCH('[5]PL6243'!B147,'[5]BC TT 85'!B121:B373,0),22)</f>
        <v>290.28100000000006</v>
      </c>
      <c r="AD151" s="633">
        <f>Y151/T151</f>
        <v>0.458964787206962</v>
      </c>
      <c r="AE151" s="634"/>
      <c r="AF151" s="634"/>
      <c r="AG151" s="633"/>
      <c r="AH151" s="608">
        <f>AC151/X151</f>
        <v>0.458964787206962</v>
      </c>
    </row>
    <row r="152" spans="1:34" ht="27">
      <c r="A152" s="552"/>
      <c r="B152" s="561" t="s">
        <v>395</v>
      </c>
      <c r="C152" s="588"/>
      <c r="D152" s="589"/>
      <c r="E152" s="589"/>
      <c r="F152" s="589"/>
      <c r="G152" s="589"/>
      <c r="H152" s="611">
        <f>H153</f>
        <v>0</v>
      </c>
      <c r="I152" s="611">
        <f aca="true" t="shared" si="48" ref="I152:AC153">I153</f>
        <v>0</v>
      </c>
      <c r="J152" s="611">
        <f t="shared" si="48"/>
        <v>0</v>
      </c>
      <c r="K152" s="611">
        <f t="shared" si="48"/>
        <v>0</v>
      </c>
      <c r="L152" s="594">
        <f t="shared" si="48"/>
        <v>0</v>
      </c>
      <c r="M152" s="594">
        <f t="shared" si="48"/>
        <v>0</v>
      </c>
      <c r="N152" s="594">
        <f t="shared" si="48"/>
        <v>0</v>
      </c>
      <c r="O152" s="594">
        <f t="shared" si="48"/>
        <v>0</v>
      </c>
      <c r="P152" s="595">
        <v>0</v>
      </c>
      <c r="Q152" s="595">
        <v>0</v>
      </c>
      <c r="R152" s="595">
        <v>0</v>
      </c>
      <c r="S152" s="595">
        <v>0</v>
      </c>
      <c r="T152" s="612">
        <v>0</v>
      </c>
      <c r="U152" s="612">
        <v>0</v>
      </c>
      <c r="V152" s="612">
        <v>0</v>
      </c>
      <c r="W152" s="612">
        <v>0</v>
      </c>
      <c r="X152" s="612">
        <v>0</v>
      </c>
      <c r="Y152" s="601">
        <f t="shared" si="48"/>
        <v>0</v>
      </c>
      <c r="Z152" s="606">
        <f t="shared" si="48"/>
        <v>0</v>
      </c>
      <c r="AA152" s="606">
        <f t="shared" si="48"/>
        <v>0</v>
      </c>
      <c r="AB152" s="606">
        <f t="shared" si="48"/>
        <v>0</v>
      </c>
      <c r="AC152" s="606">
        <f t="shared" si="48"/>
        <v>0</v>
      </c>
      <c r="AD152" s="547"/>
      <c r="AE152" s="559"/>
      <c r="AF152" s="559"/>
      <c r="AG152" s="547"/>
      <c r="AH152" s="550"/>
    </row>
    <row r="153" spans="1:34" ht="15.75">
      <c r="A153" s="552"/>
      <c r="B153" s="561" t="s">
        <v>394</v>
      </c>
      <c r="C153" s="588"/>
      <c r="D153" s="589"/>
      <c r="E153" s="589"/>
      <c r="F153" s="589"/>
      <c r="G153" s="589"/>
      <c r="H153" s="611">
        <f>H154</f>
        <v>0</v>
      </c>
      <c r="I153" s="611">
        <f t="shared" si="48"/>
        <v>0</v>
      </c>
      <c r="J153" s="611">
        <f t="shared" si="48"/>
        <v>0</v>
      </c>
      <c r="K153" s="611">
        <f t="shared" si="48"/>
        <v>0</v>
      </c>
      <c r="L153" s="594">
        <f t="shared" si="48"/>
        <v>0</v>
      </c>
      <c r="M153" s="594">
        <f t="shared" si="48"/>
        <v>0</v>
      </c>
      <c r="N153" s="594">
        <f t="shared" si="48"/>
        <v>0</v>
      </c>
      <c r="O153" s="594">
        <f t="shared" si="48"/>
        <v>0</v>
      </c>
      <c r="P153" s="595">
        <v>0</v>
      </c>
      <c r="Q153" s="595">
        <v>0</v>
      </c>
      <c r="R153" s="595">
        <v>0</v>
      </c>
      <c r="S153" s="595">
        <v>0</v>
      </c>
      <c r="T153" s="612">
        <v>0</v>
      </c>
      <c r="U153" s="612">
        <v>0</v>
      </c>
      <c r="V153" s="612">
        <v>0</v>
      </c>
      <c r="W153" s="612">
        <v>0</v>
      </c>
      <c r="X153" s="612">
        <v>0</v>
      </c>
      <c r="Y153" s="601">
        <f t="shared" si="48"/>
        <v>0</v>
      </c>
      <c r="Z153" s="606">
        <f t="shared" si="48"/>
        <v>0</v>
      </c>
      <c r="AA153" s="606">
        <f t="shared" si="48"/>
        <v>0</v>
      </c>
      <c r="AB153" s="606">
        <f t="shared" si="48"/>
        <v>0</v>
      </c>
      <c r="AC153" s="606">
        <f t="shared" si="48"/>
        <v>0</v>
      </c>
      <c r="AD153" s="547"/>
      <c r="AE153" s="559"/>
      <c r="AF153" s="559"/>
      <c r="AG153" s="547"/>
      <c r="AH153" s="550"/>
    </row>
    <row r="154" spans="1:34" s="642" customFormat="1" ht="15.75" hidden="1">
      <c r="A154" s="637"/>
      <c r="B154" s="622"/>
      <c r="C154" s="638"/>
      <c r="D154" s="639"/>
      <c r="E154" s="639"/>
      <c r="F154" s="638"/>
      <c r="G154" s="638"/>
      <c r="H154" s="570"/>
      <c r="I154" s="570"/>
      <c r="J154" s="570"/>
      <c r="K154" s="570"/>
      <c r="L154" s="571"/>
      <c r="M154" s="571"/>
      <c r="N154" s="571"/>
      <c r="O154" s="571"/>
      <c r="P154" s="640"/>
      <c r="Q154" s="640"/>
      <c r="R154" s="640"/>
      <c r="S154" s="640"/>
      <c r="T154" s="641"/>
      <c r="U154" s="641"/>
      <c r="V154" s="641"/>
      <c r="W154" s="641"/>
      <c r="X154" s="641"/>
      <c r="Y154" s="572"/>
      <c r="Z154" s="626"/>
      <c r="AA154" s="626"/>
      <c r="AB154" s="626"/>
      <c r="AC154" s="626"/>
      <c r="AD154" s="585"/>
      <c r="AE154" s="586"/>
      <c r="AF154" s="586"/>
      <c r="AG154" s="585"/>
      <c r="AH154" s="587"/>
    </row>
    <row r="155" spans="1:34" ht="27">
      <c r="A155" s="552"/>
      <c r="B155" s="561" t="s">
        <v>396</v>
      </c>
      <c r="C155" s="588"/>
      <c r="D155" s="589"/>
      <c r="E155" s="589"/>
      <c r="F155" s="589"/>
      <c r="G155" s="589"/>
      <c r="H155" s="611">
        <f>H156+H158</f>
        <v>35030.238</v>
      </c>
      <c r="I155" s="611">
        <f aca="true" t="shared" si="49" ref="I155:AC155">I156+I158</f>
        <v>0</v>
      </c>
      <c r="J155" s="611">
        <f t="shared" si="49"/>
        <v>0</v>
      </c>
      <c r="K155" s="611">
        <f t="shared" si="49"/>
        <v>35030.238</v>
      </c>
      <c r="L155" s="594">
        <f t="shared" si="49"/>
        <v>21027.39</v>
      </c>
      <c r="M155" s="594">
        <f t="shared" si="49"/>
        <v>0</v>
      </c>
      <c r="N155" s="594">
        <f t="shared" si="49"/>
        <v>0</v>
      </c>
      <c r="O155" s="594">
        <f t="shared" si="49"/>
        <v>21027.39</v>
      </c>
      <c r="P155" s="595">
        <v>25707.964</v>
      </c>
      <c r="Q155" s="595">
        <v>0</v>
      </c>
      <c r="R155" s="595">
        <v>0</v>
      </c>
      <c r="S155" s="595">
        <v>25707.964</v>
      </c>
      <c r="T155" s="595">
        <v>2894.177</v>
      </c>
      <c r="U155" s="595">
        <v>0</v>
      </c>
      <c r="V155" s="595">
        <v>0</v>
      </c>
      <c r="W155" s="595">
        <v>0</v>
      </c>
      <c r="X155" s="612">
        <v>2894.177</v>
      </c>
      <c r="Y155" s="601">
        <f t="shared" si="49"/>
        <v>1968.5610000000001</v>
      </c>
      <c r="Z155" s="606">
        <f t="shared" si="49"/>
        <v>0</v>
      </c>
      <c r="AA155" s="606">
        <f t="shared" si="49"/>
        <v>0</v>
      </c>
      <c r="AB155" s="601">
        <f t="shared" si="49"/>
        <v>0</v>
      </c>
      <c r="AC155" s="602">
        <f t="shared" si="49"/>
        <v>1968.5610000000001</v>
      </c>
      <c r="AD155" s="547">
        <f>Y155/T155</f>
        <v>0.6801798922457057</v>
      </c>
      <c r="AE155" s="559"/>
      <c r="AF155" s="559"/>
      <c r="AG155" s="547"/>
      <c r="AH155" s="550">
        <f>AC155/X155</f>
        <v>0.6801798922457057</v>
      </c>
    </row>
    <row r="156" spans="1:34" ht="15.75">
      <c r="A156" s="552"/>
      <c r="B156" s="561" t="s">
        <v>397</v>
      </c>
      <c r="C156" s="588"/>
      <c r="D156" s="589"/>
      <c r="E156" s="589"/>
      <c r="F156" s="589"/>
      <c r="G156" s="589"/>
      <c r="H156" s="611">
        <f>H157</f>
        <v>30021.238</v>
      </c>
      <c r="I156" s="611">
        <f aca="true" t="shared" si="50" ref="I156:AC156">I157</f>
        <v>0</v>
      </c>
      <c r="J156" s="611">
        <f t="shared" si="50"/>
        <v>0</v>
      </c>
      <c r="K156" s="611">
        <f t="shared" si="50"/>
        <v>30021.238</v>
      </c>
      <c r="L156" s="594">
        <f t="shared" si="50"/>
        <v>17631.236</v>
      </c>
      <c r="M156" s="594">
        <f t="shared" si="50"/>
        <v>0</v>
      </c>
      <c r="N156" s="594">
        <f t="shared" si="50"/>
        <v>0</v>
      </c>
      <c r="O156" s="594">
        <f t="shared" si="50"/>
        <v>17631.236</v>
      </c>
      <c r="P156" s="595">
        <v>22311.81</v>
      </c>
      <c r="Q156" s="595">
        <v>0</v>
      </c>
      <c r="R156" s="595">
        <v>0</v>
      </c>
      <c r="S156" s="595">
        <v>22311.81</v>
      </c>
      <c r="T156" s="595">
        <v>2854.177</v>
      </c>
      <c r="U156" s="595">
        <v>0</v>
      </c>
      <c r="V156" s="595">
        <v>0</v>
      </c>
      <c r="W156" s="595">
        <v>0</v>
      </c>
      <c r="X156" s="612">
        <v>2854.177</v>
      </c>
      <c r="Y156" s="601">
        <f t="shared" si="50"/>
        <v>1928.5610000000001</v>
      </c>
      <c r="Z156" s="606">
        <f t="shared" si="50"/>
        <v>0</v>
      </c>
      <c r="AA156" s="606">
        <f t="shared" si="50"/>
        <v>0</v>
      </c>
      <c r="AB156" s="601">
        <f t="shared" si="50"/>
        <v>0</v>
      </c>
      <c r="AC156" s="602">
        <f t="shared" si="50"/>
        <v>1928.5610000000001</v>
      </c>
      <c r="AD156" s="547">
        <f>Y156/T156</f>
        <v>0.6756977580577519</v>
      </c>
      <c r="AE156" s="559"/>
      <c r="AF156" s="559"/>
      <c r="AG156" s="547"/>
      <c r="AH156" s="550">
        <f>AC156/X156</f>
        <v>0.6756977580577519</v>
      </c>
    </row>
    <row r="157" spans="1:34" s="642" customFormat="1" ht="54">
      <c r="A157" s="637"/>
      <c r="B157" s="622" t="s">
        <v>773</v>
      </c>
      <c r="C157" s="638" t="s">
        <v>665</v>
      </c>
      <c r="D157" s="639"/>
      <c r="E157" s="639">
        <v>7563027</v>
      </c>
      <c r="F157" s="638" t="s">
        <v>661</v>
      </c>
      <c r="G157" s="638" t="s">
        <v>666</v>
      </c>
      <c r="H157" s="660">
        <f>SUM(J157:K157)</f>
        <v>30021.238</v>
      </c>
      <c r="I157" s="660"/>
      <c r="J157" s="660"/>
      <c r="K157" s="641">
        <v>30021.238</v>
      </c>
      <c r="L157" s="661">
        <f>SUM(N157:O157)</f>
        <v>17631.236</v>
      </c>
      <c r="M157" s="661"/>
      <c r="N157" s="661"/>
      <c r="O157" s="661">
        <v>17631.236</v>
      </c>
      <c r="P157" s="640">
        <v>22311.81</v>
      </c>
      <c r="Q157" s="640"/>
      <c r="R157" s="640"/>
      <c r="S157" s="640">
        <v>22311.81</v>
      </c>
      <c r="T157" s="640">
        <v>2854.177</v>
      </c>
      <c r="U157" s="640"/>
      <c r="V157" s="640"/>
      <c r="W157" s="640"/>
      <c r="X157" s="640">
        <v>2854.177</v>
      </c>
      <c r="Y157" s="640">
        <f>SUM(AA157:AC157)</f>
        <v>1928.5610000000001</v>
      </c>
      <c r="Z157" s="641"/>
      <c r="AA157" s="641"/>
      <c r="AB157" s="640"/>
      <c r="AC157" s="662">
        <f>+INDEX('[5]BC TT 85'!A127:X379,MATCH('[5]PL6243'!B153,'[5]BC TT 85'!B127:B379,0),22)</f>
        <v>1928.5610000000001</v>
      </c>
      <c r="AD157" s="663"/>
      <c r="AE157" s="664"/>
      <c r="AF157" s="664"/>
      <c r="AG157" s="663"/>
      <c r="AH157" s="665"/>
    </row>
    <row r="158" spans="1:34" ht="15.75">
      <c r="A158" s="552"/>
      <c r="B158" s="643" t="s">
        <v>398</v>
      </c>
      <c r="C158" s="588"/>
      <c r="D158" s="589"/>
      <c r="E158" s="589"/>
      <c r="F158" s="589"/>
      <c r="G158" s="589"/>
      <c r="H158" s="611">
        <f>H159</f>
        <v>5009</v>
      </c>
      <c r="I158" s="611">
        <f aca="true" t="shared" si="51" ref="I158:AC158">I159</f>
        <v>0</v>
      </c>
      <c r="J158" s="611">
        <f t="shared" si="51"/>
        <v>0</v>
      </c>
      <c r="K158" s="611">
        <f t="shared" si="51"/>
        <v>5009</v>
      </c>
      <c r="L158" s="594">
        <f t="shared" si="51"/>
        <v>3396.154</v>
      </c>
      <c r="M158" s="594">
        <f t="shared" si="51"/>
        <v>0</v>
      </c>
      <c r="N158" s="594">
        <f t="shared" si="51"/>
        <v>0</v>
      </c>
      <c r="O158" s="594">
        <f t="shared" si="51"/>
        <v>3396.154</v>
      </c>
      <c r="P158" s="595">
        <v>3396.154</v>
      </c>
      <c r="Q158" s="595">
        <v>0</v>
      </c>
      <c r="R158" s="595">
        <v>0</v>
      </c>
      <c r="S158" s="595">
        <v>3396.154</v>
      </c>
      <c r="T158" s="595">
        <v>40</v>
      </c>
      <c r="U158" s="595">
        <v>0</v>
      </c>
      <c r="V158" s="595">
        <v>0</v>
      </c>
      <c r="W158" s="595">
        <v>0</v>
      </c>
      <c r="X158" s="595">
        <v>40</v>
      </c>
      <c r="Y158" s="601">
        <f t="shared" si="51"/>
        <v>40</v>
      </c>
      <c r="Z158" s="606">
        <f t="shared" si="51"/>
        <v>0</v>
      </c>
      <c r="AA158" s="606">
        <f t="shared" si="51"/>
        <v>0</v>
      </c>
      <c r="AB158" s="606">
        <f t="shared" si="51"/>
        <v>0</v>
      </c>
      <c r="AC158" s="602">
        <f t="shared" si="51"/>
        <v>40</v>
      </c>
      <c r="AD158" s="547">
        <f>Y158/T158</f>
        <v>1</v>
      </c>
      <c r="AE158" s="559"/>
      <c r="AF158" s="559"/>
      <c r="AG158" s="547"/>
      <c r="AH158" s="550">
        <f>AC158/X158</f>
        <v>1</v>
      </c>
    </row>
    <row r="159" spans="1:34" s="642" customFormat="1" ht="76.5">
      <c r="A159" s="637"/>
      <c r="B159" s="630" t="s">
        <v>367</v>
      </c>
      <c r="C159" s="631" t="s">
        <v>774</v>
      </c>
      <c r="D159" s="632"/>
      <c r="E159" s="632">
        <v>7580550</v>
      </c>
      <c r="F159" s="631" t="s">
        <v>661</v>
      </c>
      <c r="G159" s="631" t="s">
        <v>775</v>
      </c>
      <c r="H159" s="590">
        <f>SUM(J159:K159)</f>
        <v>5009</v>
      </c>
      <c r="I159" s="590"/>
      <c r="J159" s="590"/>
      <c r="K159" s="570">
        <f>INDEX('[7]CQTH1'!$A$12:$X$261,MATCH(B159,'[7]CQTH1'!$B$12:$B$261,0),5)</f>
        <v>5009</v>
      </c>
      <c r="L159" s="591">
        <f>O159</f>
        <v>3396.154</v>
      </c>
      <c r="M159" s="591"/>
      <c r="N159" s="591"/>
      <c r="O159" s="591">
        <v>3396.154</v>
      </c>
      <c r="P159" s="571">
        <v>3396.154</v>
      </c>
      <c r="Q159" s="571"/>
      <c r="R159" s="571"/>
      <c r="S159" s="571">
        <v>3396.154</v>
      </c>
      <c r="T159" s="571">
        <v>40</v>
      </c>
      <c r="U159" s="571"/>
      <c r="V159" s="571"/>
      <c r="W159" s="571"/>
      <c r="X159" s="572">
        <v>40</v>
      </c>
      <c r="Y159" s="572">
        <f>SUM(AA159:AC159)</f>
        <v>40</v>
      </c>
      <c r="Z159" s="626"/>
      <c r="AA159" s="626"/>
      <c r="AB159" s="626"/>
      <c r="AC159" s="572">
        <f>+INDEX('[5]BC TT 85'!A129:X381,MATCH('[5]PL6243'!B155,'[5]BC TT 85'!B129:B381,0),22)</f>
        <v>40</v>
      </c>
      <c r="AD159" s="585"/>
      <c r="AE159" s="586"/>
      <c r="AF159" s="586"/>
      <c r="AG159" s="585"/>
      <c r="AH159" s="550">
        <f>AC159/X159</f>
        <v>1</v>
      </c>
    </row>
    <row r="160" spans="1:34" ht="40.5">
      <c r="A160" s="552"/>
      <c r="B160" s="561" t="s">
        <v>399</v>
      </c>
      <c r="C160" s="588"/>
      <c r="D160" s="589"/>
      <c r="E160" s="589"/>
      <c r="F160" s="589"/>
      <c r="G160" s="589"/>
      <c r="H160" s="611">
        <f>H161</f>
        <v>0</v>
      </c>
      <c r="I160" s="611">
        <f aca="true" t="shared" si="52" ref="I160:AC161">I161</f>
        <v>0</v>
      </c>
      <c r="J160" s="611">
        <f t="shared" si="52"/>
        <v>0</v>
      </c>
      <c r="K160" s="611">
        <f t="shared" si="52"/>
        <v>0</v>
      </c>
      <c r="L160" s="594">
        <f t="shared" si="52"/>
        <v>0</v>
      </c>
      <c r="M160" s="594">
        <f t="shared" si="52"/>
        <v>0</v>
      </c>
      <c r="N160" s="594">
        <f t="shared" si="52"/>
        <v>0</v>
      </c>
      <c r="O160" s="594">
        <f t="shared" si="52"/>
        <v>0</v>
      </c>
      <c r="P160" s="595">
        <v>0</v>
      </c>
      <c r="Q160" s="595">
        <v>0</v>
      </c>
      <c r="R160" s="595">
        <v>0</v>
      </c>
      <c r="S160" s="595">
        <v>0</v>
      </c>
      <c r="T160" s="612">
        <v>0</v>
      </c>
      <c r="U160" s="612">
        <v>0</v>
      </c>
      <c r="V160" s="612">
        <v>0</v>
      </c>
      <c r="W160" s="612">
        <v>0</v>
      </c>
      <c r="X160" s="612">
        <v>0</v>
      </c>
      <c r="Y160" s="601">
        <f t="shared" si="52"/>
        <v>0</v>
      </c>
      <c r="Z160" s="606">
        <f t="shared" si="52"/>
        <v>0</v>
      </c>
      <c r="AA160" s="606">
        <f t="shared" si="52"/>
        <v>0</v>
      </c>
      <c r="AB160" s="606">
        <f t="shared" si="52"/>
        <v>0</v>
      </c>
      <c r="AC160" s="606">
        <f t="shared" si="52"/>
        <v>0</v>
      </c>
      <c r="AD160" s="547"/>
      <c r="AE160" s="559"/>
      <c r="AF160" s="559"/>
      <c r="AG160" s="547"/>
      <c r="AH160" s="550"/>
    </row>
    <row r="161" spans="1:34" ht="15.75">
      <c r="A161" s="552"/>
      <c r="B161" s="644" t="s">
        <v>394</v>
      </c>
      <c r="C161" s="588"/>
      <c r="D161" s="589"/>
      <c r="E161" s="589"/>
      <c r="F161" s="589"/>
      <c r="G161" s="589"/>
      <c r="H161" s="611">
        <f>H162</f>
        <v>0</v>
      </c>
      <c r="I161" s="611">
        <f t="shared" si="52"/>
        <v>0</v>
      </c>
      <c r="J161" s="611">
        <f t="shared" si="52"/>
        <v>0</v>
      </c>
      <c r="K161" s="611">
        <f t="shared" si="52"/>
        <v>0</v>
      </c>
      <c r="L161" s="594">
        <f t="shared" si="52"/>
        <v>0</v>
      </c>
      <c r="M161" s="594">
        <f t="shared" si="52"/>
        <v>0</v>
      </c>
      <c r="N161" s="594">
        <f t="shared" si="52"/>
        <v>0</v>
      </c>
      <c r="O161" s="594">
        <f t="shared" si="52"/>
        <v>0</v>
      </c>
      <c r="P161" s="595">
        <v>0</v>
      </c>
      <c r="Q161" s="595">
        <v>0</v>
      </c>
      <c r="R161" s="595">
        <v>0</v>
      </c>
      <c r="S161" s="595">
        <v>0</v>
      </c>
      <c r="T161" s="612">
        <v>0</v>
      </c>
      <c r="U161" s="612">
        <v>0</v>
      </c>
      <c r="V161" s="612">
        <v>0</v>
      </c>
      <c r="W161" s="612">
        <v>0</v>
      </c>
      <c r="X161" s="612">
        <v>0</v>
      </c>
      <c r="Y161" s="601">
        <f t="shared" si="52"/>
        <v>0</v>
      </c>
      <c r="Z161" s="606">
        <f t="shared" si="52"/>
        <v>0</v>
      </c>
      <c r="AA161" s="606">
        <f t="shared" si="52"/>
        <v>0</v>
      </c>
      <c r="AB161" s="606">
        <f t="shared" si="52"/>
        <v>0</v>
      </c>
      <c r="AC161" s="606">
        <f t="shared" si="52"/>
        <v>0</v>
      </c>
      <c r="AD161" s="547"/>
      <c r="AE161" s="559"/>
      <c r="AF161" s="559"/>
      <c r="AG161" s="547"/>
      <c r="AH161" s="550"/>
    </row>
    <row r="162" spans="1:34" ht="15.75" hidden="1">
      <c r="A162" s="552"/>
      <c r="B162" s="645"/>
      <c r="C162" s="554"/>
      <c r="D162" s="589"/>
      <c r="E162" s="589"/>
      <c r="F162" s="554"/>
      <c r="G162" s="554"/>
      <c r="H162" s="570"/>
      <c r="I162" s="570"/>
      <c r="J162" s="570"/>
      <c r="K162" s="570"/>
      <c r="L162" s="571"/>
      <c r="M162" s="571"/>
      <c r="N162" s="571"/>
      <c r="O162" s="571"/>
      <c r="P162" s="571"/>
      <c r="Q162" s="571"/>
      <c r="R162" s="571"/>
      <c r="S162" s="571"/>
      <c r="T162" s="570"/>
      <c r="U162" s="570"/>
      <c r="V162" s="570"/>
      <c r="W162" s="570"/>
      <c r="X162" s="570"/>
      <c r="Y162" s="572"/>
      <c r="Z162" s="626"/>
      <c r="AA162" s="626"/>
      <c r="AB162" s="626"/>
      <c r="AC162" s="626"/>
      <c r="AD162" s="585"/>
      <c r="AE162" s="586"/>
      <c r="AF162" s="586"/>
      <c r="AG162" s="585"/>
      <c r="AH162" s="587"/>
    </row>
    <row r="163" spans="1:34" ht="54">
      <c r="A163" s="552" t="s">
        <v>400</v>
      </c>
      <c r="B163" s="561" t="s">
        <v>401</v>
      </c>
      <c r="C163" s="588"/>
      <c r="D163" s="589"/>
      <c r="E163" s="589"/>
      <c r="F163" s="589"/>
      <c r="G163" s="589"/>
      <c r="H163" s="611">
        <f aca="true" t="shared" si="53" ref="H163:AC163">H167+H178+H203+H200+H233</f>
        <v>2952</v>
      </c>
      <c r="I163" s="611">
        <f t="shared" si="53"/>
        <v>0</v>
      </c>
      <c r="J163" s="611">
        <f t="shared" si="53"/>
        <v>0</v>
      </c>
      <c r="K163" s="611">
        <f t="shared" si="53"/>
        <v>2952</v>
      </c>
      <c r="L163" s="594">
        <f>L167+L178+L203+L200+L233</f>
        <v>98.814</v>
      </c>
      <c r="M163" s="594">
        <f t="shared" si="53"/>
        <v>0</v>
      </c>
      <c r="N163" s="594">
        <f t="shared" si="53"/>
        <v>0</v>
      </c>
      <c r="O163" s="594">
        <f t="shared" si="53"/>
        <v>98.814</v>
      </c>
      <c r="P163" s="595">
        <v>99.785</v>
      </c>
      <c r="Q163" s="595">
        <v>0</v>
      </c>
      <c r="R163" s="595">
        <v>0</v>
      </c>
      <c r="S163" s="595">
        <v>99.785</v>
      </c>
      <c r="T163" s="595">
        <v>0.971</v>
      </c>
      <c r="U163" s="595">
        <v>0</v>
      </c>
      <c r="V163" s="595">
        <v>0</v>
      </c>
      <c r="W163" s="595">
        <v>0</v>
      </c>
      <c r="X163" s="595">
        <v>0.971</v>
      </c>
      <c r="Y163" s="601">
        <f t="shared" si="53"/>
        <v>0</v>
      </c>
      <c r="Z163" s="606">
        <f t="shared" si="53"/>
        <v>0</v>
      </c>
      <c r="AA163" s="606">
        <f t="shared" si="53"/>
        <v>0</v>
      </c>
      <c r="AB163" s="606">
        <f t="shared" si="53"/>
        <v>0</v>
      </c>
      <c r="AC163" s="606">
        <f t="shared" si="53"/>
        <v>0</v>
      </c>
      <c r="AD163" s="585"/>
      <c r="AE163" s="586"/>
      <c r="AF163" s="586"/>
      <c r="AG163" s="585"/>
      <c r="AH163" s="587"/>
    </row>
    <row r="164" spans="1:34" ht="27">
      <c r="A164" s="552" t="s">
        <v>14</v>
      </c>
      <c r="B164" s="561" t="s">
        <v>402</v>
      </c>
      <c r="C164" s="588"/>
      <c r="D164" s="589"/>
      <c r="E164" s="589"/>
      <c r="F164" s="589"/>
      <c r="G164" s="589"/>
      <c r="H164" s="590"/>
      <c r="I164" s="590"/>
      <c r="J164" s="590"/>
      <c r="K164" s="590"/>
      <c r="L164" s="591"/>
      <c r="M164" s="591"/>
      <c r="N164" s="591"/>
      <c r="O164" s="591"/>
      <c r="P164" s="591"/>
      <c r="Q164" s="591"/>
      <c r="R164" s="591"/>
      <c r="S164" s="591"/>
      <c r="T164" s="590"/>
      <c r="U164" s="590"/>
      <c r="V164" s="590"/>
      <c r="W164" s="590"/>
      <c r="X164" s="590"/>
      <c r="Y164" s="592"/>
      <c r="Z164" s="605"/>
      <c r="AA164" s="605"/>
      <c r="AB164" s="605"/>
      <c r="AC164" s="605"/>
      <c r="AD164" s="585"/>
      <c r="AE164" s="586"/>
      <c r="AF164" s="586"/>
      <c r="AG164" s="585"/>
      <c r="AH164" s="587"/>
    </row>
    <row r="165" spans="1:34" ht="15.75">
      <c r="A165" s="623"/>
      <c r="B165" s="623" t="s">
        <v>115</v>
      </c>
      <c r="C165" s="588"/>
      <c r="D165" s="589"/>
      <c r="E165" s="589"/>
      <c r="F165" s="589"/>
      <c r="G165" s="589"/>
      <c r="H165" s="590"/>
      <c r="I165" s="590"/>
      <c r="J165" s="590"/>
      <c r="K165" s="590"/>
      <c r="L165" s="591"/>
      <c r="M165" s="591"/>
      <c r="N165" s="591"/>
      <c r="O165" s="591"/>
      <c r="P165" s="591"/>
      <c r="Q165" s="591"/>
      <c r="R165" s="591"/>
      <c r="S165" s="591"/>
      <c r="T165" s="590"/>
      <c r="U165" s="590"/>
      <c r="V165" s="590"/>
      <c r="W165" s="590"/>
      <c r="X165" s="590"/>
      <c r="Y165" s="592"/>
      <c r="Z165" s="605"/>
      <c r="AA165" s="605"/>
      <c r="AB165" s="605"/>
      <c r="AC165" s="605"/>
      <c r="AD165" s="585"/>
      <c r="AE165" s="586"/>
      <c r="AF165" s="586"/>
      <c r="AG165" s="585"/>
      <c r="AH165" s="587"/>
    </row>
    <row r="166" spans="1:34" ht="15.75">
      <c r="A166" s="623"/>
      <c r="B166" s="623" t="s">
        <v>403</v>
      </c>
      <c r="C166" s="588"/>
      <c r="D166" s="589"/>
      <c r="E166" s="589"/>
      <c r="F166" s="589"/>
      <c r="G166" s="589"/>
      <c r="H166" s="590"/>
      <c r="I166" s="590"/>
      <c r="J166" s="590"/>
      <c r="K166" s="590"/>
      <c r="L166" s="591"/>
      <c r="M166" s="591"/>
      <c r="N166" s="591"/>
      <c r="O166" s="591"/>
      <c r="P166" s="591"/>
      <c r="Q166" s="591"/>
      <c r="R166" s="591"/>
      <c r="S166" s="591"/>
      <c r="T166" s="590"/>
      <c r="U166" s="590"/>
      <c r="V166" s="590"/>
      <c r="W166" s="590"/>
      <c r="X166" s="590"/>
      <c r="Y166" s="592"/>
      <c r="Z166" s="605"/>
      <c r="AA166" s="605"/>
      <c r="AB166" s="605"/>
      <c r="AC166" s="605"/>
      <c r="AD166" s="585"/>
      <c r="AE166" s="586"/>
      <c r="AF166" s="586"/>
      <c r="AG166" s="585"/>
      <c r="AH166" s="587"/>
    </row>
    <row r="167" spans="1:34" ht="15.75">
      <c r="A167" s="552">
        <v>1</v>
      </c>
      <c r="B167" s="561" t="s">
        <v>298</v>
      </c>
      <c r="C167" s="588"/>
      <c r="D167" s="589"/>
      <c r="E167" s="589"/>
      <c r="F167" s="589"/>
      <c r="G167" s="589"/>
      <c r="H167" s="590"/>
      <c r="I167" s="590"/>
      <c r="J167" s="590"/>
      <c r="K167" s="590"/>
      <c r="L167" s="591"/>
      <c r="M167" s="591"/>
      <c r="N167" s="591"/>
      <c r="O167" s="591"/>
      <c r="P167" s="591"/>
      <c r="Q167" s="591"/>
      <c r="R167" s="591"/>
      <c r="S167" s="591"/>
      <c r="T167" s="590"/>
      <c r="U167" s="590"/>
      <c r="V167" s="590"/>
      <c r="W167" s="590"/>
      <c r="X167" s="590"/>
      <c r="Y167" s="592"/>
      <c r="Z167" s="605"/>
      <c r="AA167" s="605"/>
      <c r="AB167" s="605"/>
      <c r="AC167" s="605"/>
      <c r="AD167" s="585"/>
      <c r="AE167" s="586"/>
      <c r="AF167" s="586"/>
      <c r="AG167" s="585"/>
      <c r="AH167" s="587"/>
    </row>
    <row r="168" spans="1:34" ht="15.75">
      <c r="A168" s="552"/>
      <c r="B168" s="584" t="s">
        <v>299</v>
      </c>
      <c r="C168" s="588"/>
      <c r="D168" s="589"/>
      <c r="E168" s="589"/>
      <c r="F168" s="589"/>
      <c r="G168" s="589"/>
      <c r="H168" s="590"/>
      <c r="I168" s="590"/>
      <c r="J168" s="590"/>
      <c r="K168" s="590"/>
      <c r="L168" s="591"/>
      <c r="M168" s="591"/>
      <c r="N168" s="591"/>
      <c r="O168" s="591"/>
      <c r="P168" s="591"/>
      <c r="Q168" s="591"/>
      <c r="R168" s="591"/>
      <c r="S168" s="591"/>
      <c r="T168" s="590"/>
      <c r="U168" s="590"/>
      <c r="V168" s="590"/>
      <c r="W168" s="590"/>
      <c r="X168" s="590"/>
      <c r="Y168" s="592"/>
      <c r="Z168" s="605"/>
      <c r="AA168" s="605"/>
      <c r="AB168" s="605"/>
      <c r="AC168" s="605"/>
      <c r="AD168" s="585"/>
      <c r="AE168" s="586"/>
      <c r="AF168" s="586"/>
      <c r="AG168" s="585"/>
      <c r="AH168" s="587"/>
    </row>
    <row r="169" spans="1:34" ht="15.75">
      <c r="A169" s="552"/>
      <c r="B169" s="584" t="s">
        <v>300</v>
      </c>
      <c r="C169" s="588"/>
      <c r="D169" s="589"/>
      <c r="E169" s="589"/>
      <c r="F169" s="589"/>
      <c r="G169" s="589"/>
      <c r="H169" s="590"/>
      <c r="I169" s="590"/>
      <c r="J169" s="590"/>
      <c r="K169" s="590"/>
      <c r="L169" s="591"/>
      <c r="M169" s="591"/>
      <c r="N169" s="591"/>
      <c r="O169" s="591"/>
      <c r="P169" s="591"/>
      <c r="Q169" s="591"/>
      <c r="R169" s="591"/>
      <c r="S169" s="591"/>
      <c r="T169" s="590"/>
      <c r="U169" s="590"/>
      <c r="V169" s="590"/>
      <c r="W169" s="590"/>
      <c r="X169" s="590"/>
      <c r="Y169" s="592"/>
      <c r="Z169" s="605"/>
      <c r="AA169" s="605"/>
      <c r="AB169" s="605"/>
      <c r="AC169" s="605"/>
      <c r="AD169" s="585"/>
      <c r="AE169" s="586"/>
      <c r="AF169" s="586"/>
      <c r="AG169" s="585"/>
      <c r="AH169" s="587"/>
    </row>
    <row r="170" spans="1:34" ht="15.75">
      <c r="A170" s="552"/>
      <c r="B170" s="584" t="s">
        <v>301</v>
      </c>
      <c r="C170" s="588"/>
      <c r="D170" s="589"/>
      <c r="E170" s="589"/>
      <c r="F170" s="589"/>
      <c r="G170" s="589"/>
      <c r="H170" s="590"/>
      <c r="I170" s="590"/>
      <c r="J170" s="590"/>
      <c r="K170" s="590"/>
      <c r="L170" s="591"/>
      <c r="M170" s="591"/>
      <c r="N170" s="591"/>
      <c r="O170" s="591"/>
      <c r="P170" s="591"/>
      <c r="Q170" s="591"/>
      <c r="R170" s="591"/>
      <c r="S170" s="591"/>
      <c r="T170" s="590"/>
      <c r="U170" s="590"/>
      <c r="V170" s="590"/>
      <c r="W170" s="590"/>
      <c r="X170" s="590"/>
      <c r="Y170" s="592"/>
      <c r="Z170" s="605"/>
      <c r="AA170" s="605"/>
      <c r="AB170" s="605"/>
      <c r="AC170" s="605"/>
      <c r="AD170" s="585"/>
      <c r="AE170" s="586"/>
      <c r="AF170" s="586"/>
      <c r="AG170" s="585"/>
      <c r="AH170" s="587"/>
    </row>
    <row r="171" spans="1:34" ht="15.75">
      <c r="A171" s="552"/>
      <c r="B171" s="645" t="s">
        <v>302</v>
      </c>
      <c r="C171" s="588"/>
      <c r="D171" s="589"/>
      <c r="E171" s="589"/>
      <c r="F171" s="589"/>
      <c r="G171" s="589"/>
      <c r="H171" s="590"/>
      <c r="I171" s="590"/>
      <c r="J171" s="590"/>
      <c r="K171" s="590"/>
      <c r="L171" s="591"/>
      <c r="M171" s="591"/>
      <c r="N171" s="591"/>
      <c r="O171" s="591"/>
      <c r="P171" s="591"/>
      <c r="Q171" s="591"/>
      <c r="R171" s="591"/>
      <c r="S171" s="591"/>
      <c r="T171" s="590"/>
      <c r="U171" s="590"/>
      <c r="V171" s="590"/>
      <c r="W171" s="590"/>
      <c r="X171" s="590"/>
      <c r="Y171" s="592"/>
      <c r="Z171" s="605"/>
      <c r="AA171" s="605"/>
      <c r="AB171" s="605"/>
      <c r="AC171" s="605"/>
      <c r="AD171" s="585"/>
      <c r="AE171" s="586"/>
      <c r="AF171" s="586"/>
      <c r="AG171" s="585"/>
      <c r="AH171" s="587"/>
    </row>
    <row r="172" spans="1:34" ht="15.75">
      <c r="A172" s="552"/>
      <c r="B172" s="584" t="s">
        <v>303</v>
      </c>
      <c r="C172" s="588"/>
      <c r="D172" s="589"/>
      <c r="E172" s="589"/>
      <c r="F172" s="589"/>
      <c r="G172" s="589"/>
      <c r="H172" s="590"/>
      <c r="I172" s="590"/>
      <c r="J172" s="590"/>
      <c r="K172" s="590"/>
      <c r="L172" s="591"/>
      <c r="M172" s="591"/>
      <c r="N172" s="591"/>
      <c r="O172" s="591"/>
      <c r="P172" s="591"/>
      <c r="Q172" s="591"/>
      <c r="R172" s="591"/>
      <c r="S172" s="591"/>
      <c r="T172" s="590"/>
      <c r="U172" s="590"/>
      <c r="V172" s="590"/>
      <c r="W172" s="590"/>
      <c r="X172" s="590"/>
      <c r="Y172" s="592"/>
      <c r="Z172" s="605"/>
      <c r="AA172" s="605"/>
      <c r="AB172" s="605"/>
      <c r="AC172" s="605"/>
      <c r="AD172" s="585"/>
      <c r="AE172" s="586"/>
      <c r="AF172" s="586"/>
      <c r="AG172" s="585"/>
      <c r="AH172" s="587"/>
    </row>
    <row r="173" spans="1:34" ht="27">
      <c r="A173" s="552"/>
      <c r="B173" s="645" t="s">
        <v>309</v>
      </c>
      <c r="C173" s="588"/>
      <c r="D173" s="589"/>
      <c r="E173" s="589"/>
      <c r="F173" s="589"/>
      <c r="G173" s="589"/>
      <c r="H173" s="590"/>
      <c r="I173" s="590"/>
      <c r="J173" s="590"/>
      <c r="K173" s="590"/>
      <c r="L173" s="591"/>
      <c r="M173" s="591"/>
      <c r="N173" s="591"/>
      <c r="O173" s="591"/>
      <c r="P173" s="591"/>
      <c r="Q173" s="591"/>
      <c r="R173" s="591"/>
      <c r="S173" s="591"/>
      <c r="T173" s="590"/>
      <c r="U173" s="590"/>
      <c r="V173" s="590"/>
      <c r="W173" s="590"/>
      <c r="X173" s="590"/>
      <c r="Y173" s="592"/>
      <c r="Z173" s="605"/>
      <c r="AA173" s="605"/>
      <c r="AB173" s="605"/>
      <c r="AC173" s="605"/>
      <c r="AD173" s="585"/>
      <c r="AE173" s="586"/>
      <c r="AF173" s="586"/>
      <c r="AG173" s="585"/>
      <c r="AH173" s="587"/>
    </row>
    <row r="174" spans="1:34" ht="15.75">
      <c r="A174" s="552"/>
      <c r="B174" s="584" t="s">
        <v>310</v>
      </c>
      <c r="C174" s="588"/>
      <c r="D174" s="589"/>
      <c r="E174" s="589"/>
      <c r="F174" s="589"/>
      <c r="G174" s="589"/>
      <c r="H174" s="590"/>
      <c r="I174" s="590"/>
      <c r="J174" s="590"/>
      <c r="K174" s="590"/>
      <c r="L174" s="591"/>
      <c r="M174" s="591"/>
      <c r="N174" s="591"/>
      <c r="O174" s="591"/>
      <c r="P174" s="591"/>
      <c r="Q174" s="591"/>
      <c r="R174" s="591"/>
      <c r="S174" s="591"/>
      <c r="T174" s="590"/>
      <c r="U174" s="590"/>
      <c r="V174" s="590"/>
      <c r="W174" s="590"/>
      <c r="X174" s="590"/>
      <c r="Y174" s="592"/>
      <c r="Z174" s="605"/>
      <c r="AA174" s="605"/>
      <c r="AB174" s="605"/>
      <c r="AC174" s="605"/>
      <c r="AD174" s="585"/>
      <c r="AE174" s="586"/>
      <c r="AF174" s="586"/>
      <c r="AG174" s="585"/>
      <c r="AH174" s="587"/>
    </row>
    <row r="175" spans="1:34" ht="15.75">
      <c r="A175" s="552"/>
      <c r="B175" s="584" t="s">
        <v>311</v>
      </c>
      <c r="C175" s="588"/>
      <c r="D175" s="589"/>
      <c r="E175" s="589"/>
      <c r="F175" s="589"/>
      <c r="G175" s="589"/>
      <c r="H175" s="590"/>
      <c r="I175" s="590"/>
      <c r="J175" s="590"/>
      <c r="K175" s="590"/>
      <c r="L175" s="591"/>
      <c r="M175" s="591"/>
      <c r="N175" s="591"/>
      <c r="O175" s="591"/>
      <c r="P175" s="591"/>
      <c r="Q175" s="591"/>
      <c r="R175" s="591"/>
      <c r="S175" s="591"/>
      <c r="T175" s="590"/>
      <c r="U175" s="590"/>
      <c r="V175" s="590"/>
      <c r="W175" s="590"/>
      <c r="X175" s="590"/>
      <c r="Y175" s="592"/>
      <c r="Z175" s="605"/>
      <c r="AA175" s="605"/>
      <c r="AB175" s="605"/>
      <c r="AC175" s="605"/>
      <c r="AD175" s="585"/>
      <c r="AE175" s="586"/>
      <c r="AF175" s="586"/>
      <c r="AG175" s="585"/>
      <c r="AH175" s="587"/>
    </row>
    <row r="176" spans="1:34" ht="15.75">
      <c r="A176" s="552"/>
      <c r="B176" s="584" t="s">
        <v>312</v>
      </c>
      <c r="C176" s="588"/>
      <c r="D176" s="589"/>
      <c r="E176" s="589"/>
      <c r="F176" s="589"/>
      <c r="G176" s="589"/>
      <c r="H176" s="590"/>
      <c r="I176" s="590"/>
      <c r="J176" s="590"/>
      <c r="K176" s="590"/>
      <c r="L176" s="591"/>
      <c r="M176" s="591"/>
      <c r="N176" s="591"/>
      <c r="O176" s="591"/>
      <c r="P176" s="591"/>
      <c r="Q176" s="591"/>
      <c r="R176" s="591"/>
      <c r="S176" s="591"/>
      <c r="T176" s="590"/>
      <c r="U176" s="590"/>
      <c r="V176" s="590"/>
      <c r="W176" s="590"/>
      <c r="X176" s="590"/>
      <c r="Y176" s="592"/>
      <c r="Z176" s="605"/>
      <c r="AA176" s="605"/>
      <c r="AB176" s="605"/>
      <c r="AC176" s="605"/>
      <c r="AD176" s="585"/>
      <c r="AE176" s="586"/>
      <c r="AF176" s="586"/>
      <c r="AG176" s="585"/>
      <c r="AH176" s="587"/>
    </row>
    <row r="177" spans="1:34" ht="15.75">
      <c r="A177" s="552"/>
      <c r="B177" s="584" t="s">
        <v>313</v>
      </c>
      <c r="C177" s="588"/>
      <c r="D177" s="589"/>
      <c r="E177" s="589"/>
      <c r="F177" s="589"/>
      <c r="G177" s="589"/>
      <c r="H177" s="590"/>
      <c r="I177" s="590"/>
      <c r="J177" s="590"/>
      <c r="K177" s="590"/>
      <c r="L177" s="591"/>
      <c r="M177" s="591"/>
      <c r="N177" s="591"/>
      <c r="O177" s="591"/>
      <c r="P177" s="591"/>
      <c r="Q177" s="591"/>
      <c r="R177" s="591"/>
      <c r="S177" s="591"/>
      <c r="T177" s="590"/>
      <c r="U177" s="590"/>
      <c r="V177" s="590"/>
      <c r="W177" s="590"/>
      <c r="X177" s="590"/>
      <c r="Y177" s="592"/>
      <c r="Z177" s="605"/>
      <c r="AA177" s="605"/>
      <c r="AB177" s="605"/>
      <c r="AC177" s="605"/>
      <c r="AD177" s="585"/>
      <c r="AE177" s="586"/>
      <c r="AF177" s="586"/>
      <c r="AG177" s="585"/>
      <c r="AH177" s="587"/>
    </row>
    <row r="178" spans="1:34" ht="15.75">
      <c r="A178" s="552">
        <v>2</v>
      </c>
      <c r="B178" s="561" t="s">
        <v>314</v>
      </c>
      <c r="C178" s="588"/>
      <c r="D178" s="589"/>
      <c r="E178" s="589"/>
      <c r="F178" s="589"/>
      <c r="G178" s="589"/>
      <c r="H178" s="611">
        <f aca="true" t="shared" si="54" ref="H178:AC178">H179+H180+H181+H183+H184+H187+H190+H191+H192</f>
        <v>2952</v>
      </c>
      <c r="I178" s="611">
        <f t="shared" si="54"/>
        <v>0</v>
      </c>
      <c r="J178" s="611">
        <f t="shared" si="54"/>
        <v>0</v>
      </c>
      <c r="K178" s="611">
        <f t="shared" si="54"/>
        <v>2952</v>
      </c>
      <c r="L178" s="594">
        <f t="shared" si="54"/>
        <v>98.814</v>
      </c>
      <c r="M178" s="594">
        <f t="shared" si="54"/>
        <v>0</v>
      </c>
      <c r="N178" s="594">
        <f t="shared" si="54"/>
        <v>0</v>
      </c>
      <c r="O178" s="594">
        <f t="shared" si="54"/>
        <v>98.814</v>
      </c>
      <c r="P178" s="595">
        <v>99.785</v>
      </c>
      <c r="Q178" s="595">
        <v>0</v>
      </c>
      <c r="R178" s="595">
        <v>0</v>
      </c>
      <c r="S178" s="595">
        <v>99.785</v>
      </c>
      <c r="T178" s="595">
        <v>0.971</v>
      </c>
      <c r="U178" s="595">
        <v>0</v>
      </c>
      <c r="V178" s="595">
        <v>0</v>
      </c>
      <c r="W178" s="595">
        <v>0</v>
      </c>
      <c r="X178" s="595">
        <v>0.971</v>
      </c>
      <c r="Y178" s="601">
        <f t="shared" si="54"/>
        <v>0</v>
      </c>
      <c r="Z178" s="606">
        <f t="shared" si="54"/>
        <v>0</v>
      </c>
      <c r="AA178" s="606">
        <f t="shared" si="54"/>
        <v>0</v>
      </c>
      <c r="AB178" s="606">
        <f t="shared" si="54"/>
        <v>0</v>
      </c>
      <c r="AC178" s="606">
        <f t="shared" si="54"/>
        <v>0</v>
      </c>
      <c r="AD178" s="585"/>
      <c r="AE178" s="586"/>
      <c r="AF178" s="586"/>
      <c r="AG178" s="585"/>
      <c r="AH178" s="587"/>
    </row>
    <row r="179" spans="1:34" ht="15.75">
      <c r="A179" s="552"/>
      <c r="B179" s="569" t="s">
        <v>299</v>
      </c>
      <c r="C179" s="588"/>
      <c r="D179" s="589"/>
      <c r="E179" s="589"/>
      <c r="F179" s="589"/>
      <c r="G179" s="589"/>
      <c r="H179" s="590"/>
      <c r="I179" s="590"/>
      <c r="J179" s="590"/>
      <c r="K179" s="590"/>
      <c r="L179" s="591"/>
      <c r="M179" s="591"/>
      <c r="N179" s="591"/>
      <c r="O179" s="591"/>
      <c r="P179" s="591"/>
      <c r="Q179" s="591"/>
      <c r="R179" s="591"/>
      <c r="S179" s="591"/>
      <c r="T179" s="590"/>
      <c r="U179" s="590"/>
      <c r="V179" s="590"/>
      <c r="W179" s="590"/>
      <c r="X179" s="590"/>
      <c r="Y179" s="592"/>
      <c r="Z179" s="605"/>
      <c r="AA179" s="605"/>
      <c r="AB179" s="605"/>
      <c r="AC179" s="605"/>
      <c r="AD179" s="585"/>
      <c r="AE179" s="586"/>
      <c r="AF179" s="586"/>
      <c r="AG179" s="585"/>
      <c r="AH179" s="587"/>
    </row>
    <row r="180" spans="1:34" ht="15.75">
      <c r="A180" s="552"/>
      <c r="B180" s="569" t="s">
        <v>300</v>
      </c>
      <c r="C180" s="588"/>
      <c r="D180" s="589"/>
      <c r="E180" s="589"/>
      <c r="F180" s="589"/>
      <c r="G180" s="589"/>
      <c r="H180" s="590"/>
      <c r="I180" s="590"/>
      <c r="J180" s="590"/>
      <c r="K180" s="590"/>
      <c r="L180" s="591"/>
      <c r="M180" s="591"/>
      <c r="N180" s="591"/>
      <c r="O180" s="591"/>
      <c r="P180" s="591"/>
      <c r="Q180" s="591"/>
      <c r="R180" s="591"/>
      <c r="S180" s="591"/>
      <c r="T180" s="590"/>
      <c r="U180" s="590"/>
      <c r="V180" s="590"/>
      <c r="W180" s="590"/>
      <c r="X180" s="590"/>
      <c r="Y180" s="592"/>
      <c r="Z180" s="605"/>
      <c r="AA180" s="605"/>
      <c r="AB180" s="605"/>
      <c r="AC180" s="605"/>
      <c r="AD180" s="585"/>
      <c r="AE180" s="586"/>
      <c r="AF180" s="586"/>
      <c r="AG180" s="585"/>
      <c r="AH180" s="587"/>
    </row>
    <row r="181" spans="1:34" ht="15.75">
      <c r="A181" s="552"/>
      <c r="B181" s="569" t="s">
        <v>301</v>
      </c>
      <c r="C181" s="588"/>
      <c r="D181" s="589"/>
      <c r="E181" s="589"/>
      <c r="F181" s="589"/>
      <c r="G181" s="589"/>
      <c r="H181" s="611">
        <f aca="true" t="shared" si="55" ref="H181:AC181">SUM(H182:H182)</f>
        <v>0</v>
      </c>
      <c r="I181" s="611">
        <f t="shared" si="55"/>
        <v>0</v>
      </c>
      <c r="J181" s="611">
        <f t="shared" si="55"/>
        <v>0</v>
      </c>
      <c r="K181" s="611">
        <f t="shared" si="55"/>
        <v>0</v>
      </c>
      <c r="L181" s="594">
        <f t="shared" si="55"/>
        <v>0</v>
      </c>
      <c r="M181" s="594">
        <f t="shared" si="55"/>
        <v>0</v>
      </c>
      <c r="N181" s="594">
        <f t="shared" si="55"/>
        <v>0</v>
      </c>
      <c r="O181" s="594">
        <f t="shared" si="55"/>
        <v>0</v>
      </c>
      <c r="P181" s="595">
        <v>0</v>
      </c>
      <c r="Q181" s="595">
        <v>0</v>
      </c>
      <c r="R181" s="595">
        <v>0</v>
      </c>
      <c r="S181" s="595">
        <v>0</v>
      </c>
      <c r="T181" s="612">
        <v>0</v>
      </c>
      <c r="U181" s="612">
        <v>0</v>
      </c>
      <c r="V181" s="612">
        <v>0</v>
      </c>
      <c r="W181" s="612">
        <v>0</v>
      </c>
      <c r="X181" s="612">
        <v>0</v>
      </c>
      <c r="Y181" s="601">
        <f t="shared" si="55"/>
        <v>0</v>
      </c>
      <c r="Z181" s="606">
        <f t="shared" si="55"/>
        <v>0</v>
      </c>
      <c r="AA181" s="606">
        <f t="shared" si="55"/>
        <v>0</v>
      </c>
      <c r="AB181" s="606">
        <f t="shared" si="55"/>
        <v>0</v>
      </c>
      <c r="AC181" s="606">
        <f t="shared" si="55"/>
        <v>0</v>
      </c>
      <c r="AD181" s="585"/>
      <c r="AE181" s="586"/>
      <c r="AF181" s="586"/>
      <c r="AG181" s="585"/>
      <c r="AH181" s="587"/>
    </row>
    <row r="182" spans="1:34" ht="15.75">
      <c r="A182" s="552"/>
      <c r="B182" s="645"/>
      <c r="C182" s="554"/>
      <c r="D182" s="589"/>
      <c r="E182" s="589"/>
      <c r="F182" s="554"/>
      <c r="G182" s="554"/>
      <c r="H182" s="570"/>
      <c r="I182" s="570"/>
      <c r="J182" s="570"/>
      <c r="K182" s="570"/>
      <c r="L182" s="571"/>
      <c r="M182" s="571"/>
      <c r="N182" s="571"/>
      <c r="O182" s="571"/>
      <c r="P182" s="571"/>
      <c r="Q182" s="571"/>
      <c r="R182" s="571"/>
      <c r="S182" s="571"/>
      <c r="T182" s="570"/>
      <c r="U182" s="570"/>
      <c r="V182" s="570"/>
      <c r="W182" s="570"/>
      <c r="X182" s="570"/>
      <c r="Y182" s="572"/>
      <c r="Z182" s="626"/>
      <c r="AA182" s="626"/>
      <c r="AB182" s="626"/>
      <c r="AC182" s="626"/>
      <c r="AD182" s="585"/>
      <c r="AE182" s="586"/>
      <c r="AF182" s="586"/>
      <c r="AG182" s="585"/>
      <c r="AH182" s="587"/>
    </row>
    <row r="183" spans="1:34" ht="15.75">
      <c r="A183" s="552"/>
      <c r="B183" s="582" t="s">
        <v>302</v>
      </c>
      <c r="C183" s="588"/>
      <c r="D183" s="589"/>
      <c r="E183" s="589"/>
      <c r="F183" s="589"/>
      <c r="G183" s="589"/>
      <c r="H183" s="590"/>
      <c r="I183" s="590"/>
      <c r="J183" s="590"/>
      <c r="K183" s="590"/>
      <c r="L183" s="591"/>
      <c r="M183" s="591"/>
      <c r="N183" s="591"/>
      <c r="O183" s="591"/>
      <c r="P183" s="591"/>
      <c r="Q183" s="591"/>
      <c r="R183" s="591"/>
      <c r="S183" s="591"/>
      <c r="T183" s="590"/>
      <c r="U183" s="590"/>
      <c r="V183" s="590"/>
      <c r="W183" s="590"/>
      <c r="X183" s="590"/>
      <c r="Y183" s="592"/>
      <c r="Z183" s="605"/>
      <c r="AA183" s="605"/>
      <c r="AB183" s="605"/>
      <c r="AC183" s="605"/>
      <c r="AD183" s="585"/>
      <c r="AE183" s="586"/>
      <c r="AF183" s="586"/>
      <c r="AG183" s="585"/>
      <c r="AH183" s="587"/>
    </row>
    <row r="184" spans="1:34" ht="15.75">
      <c r="A184" s="552"/>
      <c r="B184" s="569" t="s">
        <v>303</v>
      </c>
      <c r="C184" s="588"/>
      <c r="D184" s="589"/>
      <c r="E184" s="589"/>
      <c r="F184" s="589"/>
      <c r="G184" s="589"/>
      <c r="H184" s="611">
        <f aca="true" t="shared" si="56" ref="H184:AC184">SUM(H185:H186)</f>
        <v>2952</v>
      </c>
      <c r="I184" s="611">
        <f t="shared" si="56"/>
        <v>0</v>
      </c>
      <c r="J184" s="611">
        <f t="shared" si="56"/>
        <v>0</v>
      </c>
      <c r="K184" s="611">
        <f t="shared" si="56"/>
        <v>2952</v>
      </c>
      <c r="L184" s="594">
        <f t="shared" si="56"/>
        <v>98.814</v>
      </c>
      <c r="M184" s="594">
        <f t="shared" si="56"/>
        <v>0</v>
      </c>
      <c r="N184" s="594">
        <f t="shared" si="56"/>
        <v>0</v>
      </c>
      <c r="O184" s="594">
        <f t="shared" si="56"/>
        <v>98.814</v>
      </c>
      <c r="P184" s="595">
        <v>99.785</v>
      </c>
      <c r="Q184" s="595">
        <v>0</v>
      </c>
      <c r="R184" s="595">
        <v>0</v>
      </c>
      <c r="S184" s="595">
        <v>99.785</v>
      </c>
      <c r="T184" s="595">
        <v>0.971</v>
      </c>
      <c r="U184" s="595">
        <v>0</v>
      </c>
      <c r="V184" s="595">
        <v>0</v>
      </c>
      <c r="W184" s="595">
        <v>0</v>
      </c>
      <c r="X184" s="595">
        <v>0.971</v>
      </c>
      <c r="Y184" s="601">
        <f t="shared" si="56"/>
        <v>0</v>
      </c>
      <c r="Z184" s="606">
        <f t="shared" si="56"/>
        <v>0</v>
      </c>
      <c r="AA184" s="606">
        <f t="shared" si="56"/>
        <v>0</v>
      </c>
      <c r="AB184" s="606">
        <f t="shared" si="56"/>
        <v>0</v>
      </c>
      <c r="AC184" s="606">
        <f t="shared" si="56"/>
        <v>0</v>
      </c>
      <c r="AD184" s="585"/>
      <c r="AE184" s="586"/>
      <c r="AF184" s="586"/>
      <c r="AG184" s="585"/>
      <c r="AH184" s="587"/>
    </row>
    <row r="185" spans="1:34" s="636" customFormat="1" ht="27">
      <c r="A185" s="629"/>
      <c r="B185" s="646" t="s">
        <v>430</v>
      </c>
      <c r="C185" s="631" t="s">
        <v>690</v>
      </c>
      <c r="D185" s="632"/>
      <c r="E185" s="632">
        <v>7498683</v>
      </c>
      <c r="F185" s="631" t="s">
        <v>675</v>
      </c>
      <c r="G185" s="631" t="s">
        <v>776</v>
      </c>
      <c r="H185" s="605">
        <f>SUM(J185:K185)</f>
        <v>2952</v>
      </c>
      <c r="I185" s="605"/>
      <c r="J185" s="605"/>
      <c r="K185" s="626">
        <f>INDEX('[7]CQTH1'!$A$12:$X$261,MATCH(B185,'[7]CQTH1'!$B$12:$B$261,0),5)</f>
        <v>2952</v>
      </c>
      <c r="L185" s="592">
        <f>O185</f>
        <v>98.814</v>
      </c>
      <c r="M185" s="592"/>
      <c r="N185" s="592"/>
      <c r="O185" s="592">
        <f>INDEX('[7]CQTH1'!$A$12:$X$261,MATCH(B185,'[7]CQTH1'!$B$12:$B$261,0),24)</f>
        <v>98.814</v>
      </c>
      <c r="P185" s="572">
        <v>99.785</v>
      </c>
      <c r="Q185" s="572"/>
      <c r="R185" s="572"/>
      <c r="S185" s="572">
        <v>99.785</v>
      </c>
      <c r="T185" s="572">
        <v>0.971</v>
      </c>
      <c r="U185" s="572"/>
      <c r="V185" s="572"/>
      <c r="W185" s="572"/>
      <c r="X185" s="572">
        <v>0.971</v>
      </c>
      <c r="Y185" s="572">
        <f>SUM(AA185:AC185)</f>
        <v>0</v>
      </c>
      <c r="Z185" s="626"/>
      <c r="AA185" s="626"/>
      <c r="AB185" s="626"/>
      <c r="AC185" s="572">
        <f>+INDEX('[5]BC TT 85'!A155:X407,MATCH('[5]PL6243'!B181,'[5]BC TT 85'!B155:B407,0),22)</f>
        <v>0</v>
      </c>
      <c r="AD185" s="633"/>
      <c r="AE185" s="634"/>
      <c r="AF185" s="634"/>
      <c r="AG185" s="633"/>
      <c r="AH185" s="635"/>
    </row>
    <row r="186" spans="1:34" ht="15.75" hidden="1">
      <c r="A186" s="552"/>
      <c r="B186" s="645"/>
      <c r="C186" s="554"/>
      <c r="D186" s="589"/>
      <c r="E186" s="589"/>
      <c r="F186" s="554"/>
      <c r="G186" s="554"/>
      <c r="H186" s="570"/>
      <c r="I186" s="570"/>
      <c r="J186" s="570"/>
      <c r="K186" s="570"/>
      <c r="L186" s="571"/>
      <c r="M186" s="571"/>
      <c r="N186" s="571"/>
      <c r="O186" s="571"/>
      <c r="P186" s="571"/>
      <c r="Q186" s="571"/>
      <c r="R186" s="571"/>
      <c r="S186" s="571"/>
      <c r="T186" s="570"/>
      <c r="U186" s="570"/>
      <c r="V186" s="570"/>
      <c r="W186" s="570"/>
      <c r="X186" s="570"/>
      <c r="Y186" s="572"/>
      <c r="Z186" s="626"/>
      <c r="AA186" s="626"/>
      <c r="AB186" s="626"/>
      <c r="AC186" s="626"/>
      <c r="AD186" s="585"/>
      <c r="AE186" s="586"/>
      <c r="AF186" s="586"/>
      <c r="AG186" s="585"/>
      <c r="AH186" s="587"/>
    </row>
    <row r="187" spans="1:34" ht="27">
      <c r="A187" s="552"/>
      <c r="B187" s="582" t="s">
        <v>309</v>
      </c>
      <c r="C187" s="588"/>
      <c r="D187" s="589"/>
      <c r="E187" s="589"/>
      <c r="F187" s="589"/>
      <c r="G187" s="589"/>
      <c r="H187" s="611">
        <f aca="true" t="shared" si="57" ref="H187:AC187">SUM(H188:H189)</f>
        <v>0</v>
      </c>
      <c r="I187" s="611">
        <f t="shared" si="57"/>
        <v>0</v>
      </c>
      <c r="J187" s="611">
        <f t="shared" si="57"/>
        <v>0</v>
      </c>
      <c r="K187" s="611">
        <f t="shared" si="57"/>
        <v>0</v>
      </c>
      <c r="L187" s="594">
        <f t="shared" si="57"/>
        <v>0</v>
      </c>
      <c r="M187" s="594">
        <f t="shared" si="57"/>
        <v>0</v>
      </c>
      <c r="N187" s="594">
        <f t="shared" si="57"/>
        <v>0</v>
      </c>
      <c r="O187" s="594">
        <f t="shared" si="57"/>
        <v>0</v>
      </c>
      <c r="P187" s="595">
        <f t="shared" si="57"/>
        <v>0</v>
      </c>
      <c r="Q187" s="595">
        <f t="shared" si="57"/>
        <v>0</v>
      </c>
      <c r="R187" s="595">
        <f t="shared" si="57"/>
        <v>0</v>
      </c>
      <c r="S187" s="595">
        <f t="shared" si="57"/>
        <v>0</v>
      </c>
      <c r="T187" s="612">
        <f t="shared" si="57"/>
        <v>0</v>
      </c>
      <c r="U187" s="612">
        <f t="shared" si="57"/>
        <v>0</v>
      </c>
      <c r="V187" s="612">
        <f t="shared" si="57"/>
        <v>0</v>
      </c>
      <c r="W187" s="612">
        <f t="shared" si="57"/>
        <v>0</v>
      </c>
      <c r="X187" s="612">
        <f t="shared" si="57"/>
        <v>0</v>
      </c>
      <c r="Y187" s="601">
        <f t="shared" si="57"/>
        <v>0</v>
      </c>
      <c r="Z187" s="606">
        <f t="shared" si="57"/>
        <v>0</v>
      </c>
      <c r="AA187" s="606">
        <f t="shared" si="57"/>
        <v>0</v>
      </c>
      <c r="AB187" s="606">
        <f t="shared" si="57"/>
        <v>0</v>
      </c>
      <c r="AC187" s="606">
        <f t="shared" si="57"/>
        <v>0</v>
      </c>
      <c r="AD187" s="585"/>
      <c r="AE187" s="586"/>
      <c r="AF187" s="586"/>
      <c r="AG187" s="585"/>
      <c r="AH187" s="587"/>
    </row>
    <row r="188" spans="1:34" ht="15.75" hidden="1">
      <c r="A188" s="552"/>
      <c r="B188" s="645"/>
      <c r="C188" s="554"/>
      <c r="D188" s="589"/>
      <c r="E188" s="589"/>
      <c r="F188" s="554"/>
      <c r="G188" s="554"/>
      <c r="H188" s="570"/>
      <c r="I188" s="570"/>
      <c r="J188" s="570"/>
      <c r="K188" s="570"/>
      <c r="L188" s="571"/>
      <c r="M188" s="571"/>
      <c r="N188" s="571"/>
      <c r="O188" s="571"/>
      <c r="P188" s="571"/>
      <c r="Q188" s="571"/>
      <c r="R188" s="571"/>
      <c r="S188" s="571"/>
      <c r="T188" s="570"/>
      <c r="U188" s="570"/>
      <c r="V188" s="570"/>
      <c r="W188" s="570"/>
      <c r="X188" s="570"/>
      <c r="Y188" s="572"/>
      <c r="Z188" s="626"/>
      <c r="AA188" s="626"/>
      <c r="AB188" s="626"/>
      <c r="AC188" s="626"/>
      <c r="AD188" s="585"/>
      <c r="AE188" s="586"/>
      <c r="AF188" s="586"/>
      <c r="AG188" s="585"/>
      <c r="AH188" s="587"/>
    </row>
    <row r="189" spans="1:34" ht="15.75" hidden="1">
      <c r="A189" s="552"/>
      <c r="B189" s="645"/>
      <c r="C189" s="588"/>
      <c r="D189" s="589"/>
      <c r="E189" s="589"/>
      <c r="F189" s="554"/>
      <c r="G189" s="554"/>
      <c r="H189" s="570"/>
      <c r="I189" s="570"/>
      <c r="J189" s="570"/>
      <c r="K189" s="570"/>
      <c r="L189" s="571"/>
      <c r="M189" s="571"/>
      <c r="N189" s="571"/>
      <c r="O189" s="571"/>
      <c r="P189" s="571"/>
      <c r="Q189" s="571"/>
      <c r="R189" s="571"/>
      <c r="S189" s="571"/>
      <c r="T189" s="570"/>
      <c r="U189" s="570"/>
      <c r="V189" s="570"/>
      <c r="W189" s="570"/>
      <c r="X189" s="570"/>
      <c r="Y189" s="572"/>
      <c r="Z189" s="626"/>
      <c r="AA189" s="626"/>
      <c r="AB189" s="626"/>
      <c r="AC189" s="626"/>
      <c r="AD189" s="585"/>
      <c r="AE189" s="586"/>
      <c r="AF189" s="586"/>
      <c r="AG189" s="585"/>
      <c r="AH189" s="587"/>
    </row>
    <row r="190" spans="1:34" ht="15.75">
      <c r="A190" s="552"/>
      <c r="B190" s="569" t="s">
        <v>310</v>
      </c>
      <c r="C190" s="588"/>
      <c r="D190" s="589"/>
      <c r="E190" s="589"/>
      <c r="F190" s="589"/>
      <c r="G190" s="589"/>
      <c r="H190" s="590"/>
      <c r="I190" s="590"/>
      <c r="J190" s="590"/>
      <c r="K190" s="590"/>
      <c r="L190" s="591"/>
      <c r="M190" s="591"/>
      <c r="N190" s="591"/>
      <c r="O190" s="591"/>
      <c r="P190" s="591"/>
      <c r="Q190" s="591"/>
      <c r="R190" s="591"/>
      <c r="S190" s="591"/>
      <c r="T190" s="590"/>
      <c r="U190" s="590"/>
      <c r="V190" s="590"/>
      <c r="W190" s="590"/>
      <c r="X190" s="590"/>
      <c r="Y190" s="592"/>
      <c r="Z190" s="605"/>
      <c r="AA190" s="605"/>
      <c r="AB190" s="605"/>
      <c r="AC190" s="605"/>
      <c r="AD190" s="585"/>
      <c r="AE190" s="586"/>
      <c r="AF190" s="586"/>
      <c r="AG190" s="585"/>
      <c r="AH190" s="587"/>
    </row>
    <row r="191" spans="1:34" ht="15.75">
      <c r="A191" s="552"/>
      <c r="B191" s="569" t="s">
        <v>311</v>
      </c>
      <c r="C191" s="588"/>
      <c r="D191" s="589"/>
      <c r="E191" s="589"/>
      <c r="F191" s="589"/>
      <c r="G191" s="589"/>
      <c r="H191" s="590"/>
      <c r="I191" s="590"/>
      <c r="J191" s="590"/>
      <c r="K191" s="590"/>
      <c r="L191" s="591"/>
      <c r="M191" s="591"/>
      <c r="N191" s="591"/>
      <c r="O191" s="591"/>
      <c r="P191" s="591"/>
      <c r="Q191" s="591"/>
      <c r="R191" s="591"/>
      <c r="S191" s="591"/>
      <c r="T191" s="590"/>
      <c r="U191" s="590"/>
      <c r="V191" s="590"/>
      <c r="W191" s="590"/>
      <c r="X191" s="590"/>
      <c r="Y191" s="592"/>
      <c r="Z191" s="605"/>
      <c r="AA191" s="605"/>
      <c r="AB191" s="605"/>
      <c r="AC191" s="605"/>
      <c r="AD191" s="585"/>
      <c r="AE191" s="586"/>
      <c r="AF191" s="586"/>
      <c r="AG191" s="585"/>
      <c r="AH191" s="587"/>
    </row>
    <row r="192" spans="1:34" ht="15.75">
      <c r="A192" s="552"/>
      <c r="B192" s="569" t="s">
        <v>312</v>
      </c>
      <c r="C192" s="588"/>
      <c r="D192" s="589"/>
      <c r="E192" s="589"/>
      <c r="F192" s="589"/>
      <c r="G192" s="589"/>
      <c r="H192" s="611">
        <f>H193</f>
        <v>0</v>
      </c>
      <c r="I192" s="611">
        <f aca="true" t="shared" si="58" ref="I192:AC192">I193</f>
        <v>0</v>
      </c>
      <c r="J192" s="611">
        <f t="shared" si="58"/>
        <v>0</v>
      </c>
      <c r="K192" s="611">
        <f t="shared" si="58"/>
        <v>0</v>
      </c>
      <c r="L192" s="594">
        <f t="shared" si="58"/>
        <v>0</v>
      </c>
      <c r="M192" s="594">
        <f t="shared" si="58"/>
        <v>0</v>
      </c>
      <c r="N192" s="594">
        <f t="shared" si="58"/>
        <v>0</v>
      </c>
      <c r="O192" s="594">
        <f t="shared" si="58"/>
        <v>0</v>
      </c>
      <c r="P192" s="595">
        <f t="shared" si="58"/>
        <v>0</v>
      </c>
      <c r="Q192" s="595">
        <f t="shared" si="58"/>
        <v>0</v>
      </c>
      <c r="R192" s="595">
        <f t="shared" si="58"/>
        <v>0</v>
      </c>
      <c r="S192" s="595">
        <f t="shared" si="58"/>
        <v>0</v>
      </c>
      <c r="T192" s="612">
        <f t="shared" si="58"/>
        <v>0</v>
      </c>
      <c r="U192" s="612">
        <f t="shared" si="58"/>
        <v>0</v>
      </c>
      <c r="V192" s="612">
        <f t="shared" si="58"/>
        <v>0</v>
      </c>
      <c r="W192" s="612">
        <f t="shared" si="58"/>
        <v>0</v>
      </c>
      <c r="X192" s="612">
        <f t="shared" si="58"/>
        <v>0</v>
      </c>
      <c r="Y192" s="601">
        <f t="shared" si="58"/>
        <v>0</v>
      </c>
      <c r="Z192" s="606">
        <f t="shared" si="58"/>
        <v>0</v>
      </c>
      <c r="AA192" s="606">
        <f t="shared" si="58"/>
        <v>0</v>
      </c>
      <c r="AB192" s="606">
        <f t="shared" si="58"/>
        <v>0</v>
      </c>
      <c r="AC192" s="606">
        <f t="shared" si="58"/>
        <v>0</v>
      </c>
      <c r="AD192" s="585"/>
      <c r="AE192" s="586"/>
      <c r="AF192" s="586"/>
      <c r="AG192" s="585"/>
      <c r="AH192" s="587"/>
    </row>
    <row r="193" spans="1:34" ht="15.75" hidden="1">
      <c r="A193" s="552"/>
      <c r="B193" s="645"/>
      <c r="C193" s="554"/>
      <c r="D193" s="589"/>
      <c r="E193" s="589"/>
      <c r="F193" s="554"/>
      <c r="G193" s="554"/>
      <c r="H193" s="570"/>
      <c r="I193" s="570"/>
      <c r="J193" s="570"/>
      <c r="K193" s="570"/>
      <c r="L193" s="571"/>
      <c r="M193" s="571"/>
      <c r="N193" s="571"/>
      <c r="O193" s="571"/>
      <c r="P193" s="571"/>
      <c r="Q193" s="571"/>
      <c r="R193" s="571"/>
      <c r="S193" s="571"/>
      <c r="T193" s="570"/>
      <c r="U193" s="570"/>
      <c r="V193" s="570"/>
      <c r="W193" s="570"/>
      <c r="X193" s="570"/>
      <c r="Y193" s="572"/>
      <c r="Z193" s="626"/>
      <c r="AA193" s="626"/>
      <c r="AB193" s="626"/>
      <c r="AC193" s="626"/>
      <c r="AD193" s="585"/>
      <c r="AE193" s="586"/>
      <c r="AF193" s="586"/>
      <c r="AG193" s="585"/>
      <c r="AH193" s="587"/>
    </row>
    <row r="194" spans="1:34" s="613" customFormat="1" ht="15.75">
      <c r="A194" s="553"/>
      <c r="B194" s="569" t="s">
        <v>313</v>
      </c>
      <c r="C194" s="599"/>
      <c r="D194" s="600"/>
      <c r="E194" s="600"/>
      <c r="F194" s="600"/>
      <c r="G194" s="600"/>
      <c r="H194" s="611"/>
      <c r="I194" s="611"/>
      <c r="J194" s="611"/>
      <c r="K194" s="611"/>
      <c r="L194" s="594"/>
      <c r="M194" s="594"/>
      <c r="N194" s="594"/>
      <c r="O194" s="594"/>
      <c r="P194" s="594"/>
      <c r="Q194" s="594"/>
      <c r="R194" s="594"/>
      <c r="S194" s="594"/>
      <c r="T194" s="611"/>
      <c r="U194" s="611"/>
      <c r="V194" s="611"/>
      <c r="W194" s="611"/>
      <c r="X194" s="611"/>
      <c r="Y194" s="601"/>
      <c r="Z194" s="606"/>
      <c r="AA194" s="606"/>
      <c r="AB194" s="606"/>
      <c r="AC194" s="606"/>
      <c r="AD194" s="596"/>
      <c r="AE194" s="597"/>
      <c r="AF194" s="597"/>
      <c r="AG194" s="596"/>
      <c r="AH194" s="598"/>
    </row>
    <row r="195" spans="1:34" ht="15.75">
      <c r="A195" s="623"/>
      <c r="B195" s="623" t="s">
        <v>115</v>
      </c>
      <c r="C195" s="588"/>
      <c r="D195" s="589"/>
      <c r="E195" s="589"/>
      <c r="F195" s="589"/>
      <c r="G195" s="589"/>
      <c r="H195" s="590"/>
      <c r="I195" s="590"/>
      <c r="J195" s="590"/>
      <c r="K195" s="590"/>
      <c r="L195" s="591"/>
      <c r="M195" s="591"/>
      <c r="N195" s="591"/>
      <c r="O195" s="591"/>
      <c r="P195" s="591"/>
      <c r="Q195" s="591"/>
      <c r="R195" s="591"/>
      <c r="S195" s="591"/>
      <c r="T195" s="590"/>
      <c r="U195" s="590"/>
      <c r="V195" s="590"/>
      <c r="W195" s="590"/>
      <c r="X195" s="590"/>
      <c r="Y195" s="592"/>
      <c r="Z195" s="605"/>
      <c r="AA195" s="605"/>
      <c r="AB195" s="605"/>
      <c r="AC195" s="605"/>
      <c r="AD195" s="585"/>
      <c r="AE195" s="586"/>
      <c r="AF195" s="586"/>
      <c r="AG195" s="585"/>
      <c r="AH195" s="587"/>
    </row>
    <row r="196" spans="1:34" ht="15.75">
      <c r="A196" s="623"/>
      <c r="B196" s="623" t="s">
        <v>403</v>
      </c>
      <c r="C196" s="588"/>
      <c r="D196" s="589"/>
      <c r="E196" s="589"/>
      <c r="F196" s="589"/>
      <c r="G196" s="589"/>
      <c r="H196" s="590"/>
      <c r="I196" s="590"/>
      <c r="J196" s="590"/>
      <c r="K196" s="590"/>
      <c r="L196" s="591"/>
      <c r="M196" s="591"/>
      <c r="N196" s="591"/>
      <c r="O196" s="591"/>
      <c r="P196" s="591"/>
      <c r="Q196" s="591"/>
      <c r="R196" s="591"/>
      <c r="S196" s="591"/>
      <c r="T196" s="590"/>
      <c r="U196" s="590"/>
      <c r="V196" s="590"/>
      <c r="W196" s="590"/>
      <c r="X196" s="590"/>
      <c r="Y196" s="592"/>
      <c r="Z196" s="605"/>
      <c r="AA196" s="605"/>
      <c r="AB196" s="605"/>
      <c r="AC196" s="605"/>
      <c r="AD196" s="585"/>
      <c r="AE196" s="586"/>
      <c r="AF196" s="586"/>
      <c r="AG196" s="585"/>
      <c r="AH196" s="587"/>
    </row>
    <row r="197" spans="1:34" ht="15.75">
      <c r="A197" s="552" t="s">
        <v>25</v>
      </c>
      <c r="B197" s="561" t="s">
        <v>371</v>
      </c>
      <c r="C197" s="588"/>
      <c r="D197" s="589"/>
      <c r="E197" s="589"/>
      <c r="F197" s="589"/>
      <c r="G197" s="589"/>
      <c r="H197" s="590"/>
      <c r="I197" s="590"/>
      <c r="J197" s="590"/>
      <c r="K197" s="590"/>
      <c r="L197" s="591"/>
      <c r="M197" s="591"/>
      <c r="N197" s="591"/>
      <c r="O197" s="591"/>
      <c r="P197" s="591"/>
      <c r="Q197" s="591"/>
      <c r="R197" s="591"/>
      <c r="S197" s="591"/>
      <c r="T197" s="590"/>
      <c r="U197" s="590"/>
      <c r="V197" s="590"/>
      <c r="W197" s="590"/>
      <c r="X197" s="590"/>
      <c r="Y197" s="592"/>
      <c r="Z197" s="605"/>
      <c r="AA197" s="605"/>
      <c r="AB197" s="605"/>
      <c r="AC197" s="605"/>
      <c r="AD197" s="585"/>
      <c r="AE197" s="586"/>
      <c r="AF197" s="586"/>
      <c r="AG197" s="585"/>
      <c r="AH197" s="587"/>
    </row>
    <row r="198" spans="1:34" ht="15.75">
      <c r="A198" s="623">
        <v>1</v>
      </c>
      <c r="B198" s="624" t="s">
        <v>404</v>
      </c>
      <c r="C198" s="588"/>
      <c r="D198" s="589"/>
      <c r="E198" s="589"/>
      <c r="F198" s="589"/>
      <c r="G198" s="589"/>
      <c r="H198" s="590"/>
      <c r="I198" s="590"/>
      <c r="J198" s="590"/>
      <c r="K198" s="590"/>
      <c r="L198" s="591"/>
      <c r="M198" s="591"/>
      <c r="N198" s="591"/>
      <c r="O198" s="591"/>
      <c r="P198" s="591"/>
      <c r="Q198" s="591"/>
      <c r="R198" s="591"/>
      <c r="S198" s="591"/>
      <c r="T198" s="590"/>
      <c r="U198" s="590"/>
      <c r="V198" s="590"/>
      <c r="W198" s="590"/>
      <c r="X198" s="590"/>
      <c r="Y198" s="592"/>
      <c r="Z198" s="605"/>
      <c r="AA198" s="605"/>
      <c r="AB198" s="605"/>
      <c r="AC198" s="605"/>
      <c r="AD198" s="585"/>
      <c r="AE198" s="586"/>
      <c r="AF198" s="586"/>
      <c r="AG198" s="585"/>
      <c r="AH198" s="587"/>
    </row>
    <row r="199" spans="1:34" ht="15.75">
      <c r="A199" s="552"/>
      <c r="B199" s="625" t="s">
        <v>405</v>
      </c>
      <c r="C199" s="588"/>
      <c r="D199" s="589"/>
      <c r="E199" s="589"/>
      <c r="F199" s="589"/>
      <c r="G199" s="589"/>
      <c r="H199" s="590"/>
      <c r="I199" s="590"/>
      <c r="J199" s="590"/>
      <c r="K199" s="590"/>
      <c r="L199" s="591"/>
      <c r="M199" s="591"/>
      <c r="N199" s="591"/>
      <c r="O199" s="591"/>
      <c r="P199" s="591"/>
      <c r="Q199" s="591"/>
      <c r="R199" s="591"/>
      <c r="S199" s="591"/>
      <c r="T199" s="590"/>
      <c r="U199" s="590"/>
      <c r="V199" s="590"/>
      <c r="W199" s="590"/>
      <c r="X199" s="590"/>
      <c r="Y199" s="592"/>
      <c r="Z199" s="605"/>
      <c r="AA199" s="605"/>
      <c r="AB199" s="605"/>
      <c r="AC199" s="605"/>
      <c r="AD199" s="585"/>
      <c r="AE199" s="586"/>
      <c r="AF199" s="586"/>
      <c r="AG199" s="585"/>
      <c r="AH199" s="587"/>
    </row>
    <row r="200" spans="1:34" ht="15.75">
      <c r="A200" s="552" t="s">
        <v>28</v>
      </c>
      <c r="B200" s="561" t="s">
        <v>374</v>
      </c>
      <c r="C200" s="588"/>
      <c r="D200" s="589"/>
      <c r="E200" s="589"/>
      <c r="F200" s="589"/>
      <c r="G200" s="589"/>
      <c r="H200" s="590"/>
      <c r="I200" s="590"/>
      <c r="J200" s="590"/>
      <c r="K200" s="590"/>
      <c r="L200" s="591"/>
      <c r="M200" s="591"/>
      <c r="N200" s="591"/>
      <c r="O200" s="591"/>
      <c r="P200" s="591"/>
      <c r="Q200" s="591"/>
      <c r="R200" s="591"/>
      <c r="S200" s="591"/>
      <c r="T200" s="590"/>
      <c r="U200" s="590"/>
      <c r="V200" s="590"/>
      <c r="W200" s="590"/>
      <c r="X200" s="590"/>
      <c r="Y200" s="592"/>
      <c r="Z200" s="605"/>
      <c r="AA200" s="605"/>
      <c r="AB200" s="605"/>
      <c r="AC200" s="605"/>
      <c r="AD200" s="585"/>
      <c r="AE200" s="586"/>
      <c r="AF200" s="586"/>
      <c r="AG200" s="585"/>
      <c r="AH200" s="587"/>
    </row>
    <row r="201" spans="1:34" ht="15.75">
      <c r="A201" s="623">
        <v>1</v>
      </c>
      <c r="B201" s="624" t="s">
        <v>406</v>
      </c>
      <c r="C201" s="588"/>
      <c r="D201" s="589"/>
      <c r="E201" s="589"/>
      <c r="F201" s="589"/>
      <c r="G201" s="589"/>
      <c r="H201" s="590"/>
      <c r="I201" s="590"/>
      <c r="J201" s="590"/>
      <c r="K201" s="590"/>
      <c r="L201" s="591"/>
      <c r="M201" s="591"/>
      <c r="N201" s="591"/>
      <c r="O201" s="591"/>
      <c r="P201" s="591"/>
      <c r="Q201" s="591"/>
      <c r="R201" s="591"/>
      <c r="S201" s="591"/>
      <c r="T201" s="590"/>
      <c r="U201" s="590"/>
      <c r="V201" s="590"/>
      <c r="W201" s="590"/>
      <c r="X201" s="590"/>
      <c r="Y201" s="592"/>
      <c r="Z201" s="605"/>
      <c r="AA201" s="605"/>
      <c r="AB201" s="605"/>
      <c r="AC201" s="605"/>
      <c r="AD201" s="585"/>
      <c r="AE201" s="586"/>
      <c r="AF201" s="586"/>
      <c r="AG201" s="585"/>
      <c r="AH201" s="587"/>
    </row>
    <row r="202" spans="1:34" ht="15.75">
      <c r="A202" s="552"/>
      <c r="B202" s="625" t="s">
        <v>405</v>
      </c>
      <c r="C202" s="588"/>
      <c r="D202" s="589"/>
      <c r="E202" s="589"/>
      <c r="F202" s="589"/>
      <c r="G202" s="589"/>
      <c r="H202" s="590"/>
      <c r="I202" s="590"/>
      <c r="J202" s="590"/>
      <c r="K202" s="590"/>
      <c r="L202" s="591"/>
      <c r="M202" s="591"/>
      <c r="N202" s="591"/>
      <c r="O202" s="591"/>
      <c r="P202" s="591"/>
      <c r="Q202" s="591"/>
      <c r="R202" s="591"/>
      <c r="S202" s="591"/>
      <c r="T202" s="590"/>
      <c r="U202" s="590"/>
      <c r="V202" s="590"/>
      <c r="W202" s="590"/>
      <c r="X202" s="590"/>
      <c r="Y202" s="592"/>
      <c r="Z202" s="605"/>
      <c r="AA202" s="605"/>
      <c r="AB202" s="605"/>
      <c r="AC202" s="605"/>
      <c r="AD202" s="585"/>
      <c r="AE202" s="586"/>
      <c r="AF202" s="586"/>
      <c r="AG202" s="585"/>
      <c r="AH202" s="587"/>
    </row>
    <row r="203" spans="1:34" ht="27">
      <c r="A203" s="552" t="s">
        <v>30</v>
      </c>
      <c r="B203" s="561" t="s">
        <v>376</v>
      </c>
      <c r="C203" s="588"/>
      <c r="D203" s="589"/>
      <c r="E203" s="589"/>
      <c r="F203" s="589"/>
      <c r="G203" s="589"/>
      <c r="H203" s="611">
        <f aca="true" t="shared" si="59" ref="H203:AC203">+H204+H217</f>
        <v>0</v>
      </c>
      <c r="I203" s="611">
        <f t="shared" si="59"/>
        <v>0</v>
      </c>
      <c r="J203" s="611">
        <f t="shared" si="59"/>
        <v>0</v>
      </c>
      <c r="K203" s="611">
        <f t="shared" si="59"/>
        <v>0</v>
      </c>
      <c r="L203" s="594">
        <f t="shared" si="59"/>
        <v>0</v>
      </c>
      <c r="M203" s="594">
        <f t="shared" si="59"/>
        <v>0</v>
      </c>
      <c r="N203" s="594">
        <f t="shared" si="59"/>
        <v>0</v>
      </c>
      <c r="O203" s="594">
        <f t="shared" si="59"/>
        <v>0</v>
      </c>
      <c r="P203" s="595">
        <f t="shared" si="59"/>
        <v>0</v>
      </c>
      <c r="Q203" s="595">
        <f t="shared" si="59"/>
        <v>0</v>
      </c>
      <c r="R203" s="595">
        <f t="shared" si="59"/>
        <v>0</v>
      </c>
      <c r="S203" s="595">
        <f t="shared" si="59"/>
        <v>0</v>
      </c>
      <c r="T203" s="612">
        <f t="shared" si="59"/>
        <v>0</v>
      </c>
      <c r="U203" s="612">
        <f t="shared" si="59"/>
        <v>0</v>
      </c>
      <c r="V203" s="612">
        <f t="shared" si="59"/>
        <v>0</v>
      </c>
      <c r="W203" s="612">
        <f t="shared" si="59"/>
        <v>0</v>
      </c>
      <c r="X203" s="612">
        <f t="shared" si="59"/>
        <v>0</v>
      </c>
      <c r="Y203" s="601">
        <f t="shared" si="59"/>
        <v>0</v>
      </c>
      <c r="Z203" s="606">
        <f t="shared" si="59"/>
        <v>0</v>
      </c>
      <c r="AA203" s="606">
        <f t="shared" si="59"/>
        <v>0</v>
      </c>
      <c r="AB203" s="606">
        <f t="shared" si="59"/>
        <v>0</v>
      </c>
      <c r="AC203" s="606">
        <f t="shared" si="59"/>
        <v>0</v>
      </c>
      <c r="AD203" s="585"/>
      <c r="AE203" s="586"/>
      <c r="AF203" s="586"/>
      <c r="AG203" s="585"/>
      <c r="AH203" s="587"/>
    </row>
    <row r="204" spans="1:34" ht="15.75">
      <c r="A204" s="552"/>
      <c r="B204" s="561" t="s">
        <v>298</v>
      </c>
      <c r="C204" s="588"/>
      <c r="D204" s="589"/>
      <c r="E204" s="589"/>
      <c r="F204" s="589"/>
      <c r="G204" s="589"/>
      <c r="H204" s="611">
        <f>H205+H206+H207+H208+H209+H210+H211+H212+H213+H214</f>
        <v>0</v>
      </c>
      <c r="I204" s="611">
        <f aca="true" t="shared" si="60" ref="I204:AC204">I205+I206+I207+I208+I209+I210+I211+I212+I213+I214</f>
        <v>0</v>
      </c>
      <c r="J204" s="611">
        <f t="shared" si="60"/>
        <v>0</v>
      </c>
      <c r="K204" s="611">
        <f t="shared" si="60"/>
        <v>0</v>
      </c>
      <c r="L204" s="594">
        <f t="shared" si="60"/>
        <v>0</v>
      </c>
      <c r="M204" s="594">
        <f t="shared" si="60"/>
        <v>0</v>
      </c>
      <c r="N204" s="594">
        <f t="shared" si="60"/>
        <v>0</v>
      </c>
      <c r="O204" s="594">
        <f t="shared" si="60"/>
        <v>0</v>
      </c>
      <c r="P204" s="595">
        <f t="shared" si="60"/>
        <v>0</v>
      </c>
      <c r="Q204" s="595">
        <f t="shared" si="60"/>
        <v>0</v>
      </c>
      <c r="R204" s="595">
        <f t="shared" si="60"/>
        <v>0</v>
      </c>
      <c r="S204" s="595">
        <f t="shared" si="60"/>
        <v>0</v>
      </c>
      <c r="T204" s="612">
        <f t="shared" si="60"/>
        <v>0</v>
      </c>
      <c r="U204" s="612">
        <f t="shared" si="60"/>
        <v>0</v>
      </c>
      <c r="V204" s="612">
        <f t="shared" si="60"/>
        <v>0</v>
      </c>
      <c r="W204" s="612">
        <f t="shared" si="60"/>
        <v>0</v>
      </c>
      <c r="X204" s="612">
        <f t="shared" si="60"/>
        <v>0</v>
      </c>
      <c r="Y204" s="601">
        <f t="shared" si="60"/>
        <v>0</v>
      </c>
      <c r="Z204" s="606">
        <f t="shared" si="60"/>
        <v>0</v>
      </c>
      <c r="AA204" s="606">
        <f t="shared" si="60"/>
        <v>0</v>
      </c>
      <c r="AB204" s="606">
        <f t="shared" si="60"/>
        <v>0</v>
      </c>
      <c r="AC204" s="606">
        <f t="shared" si="60"/>
        <v>0</v>
      </c>
      <c r="AD204" s="585"/>
      <c r="AE204" s="586"/>
      <c r="AF204" s="586"/>
      <c r="AG204" s="585"/>
      <c r="AH204" s="587"/>
    </row>
    <row r="205" spans="1:34" ht="15.75">
      <c r="A205" s="552"/>
      <c r="B205" s="569" t="s">
        <v>299</v>
      </c>
      <c r="C205" s="588"/>
      <c r="D205" s="589"/>
      <c r="E205" s="589"/>
      <c r="F205" s="589"/>
      <c r="G205" s="589"/>
      <c r="H205" s="590"/>
      <c r="I205" s="590"/>
      <c r="J205" s="590"/>
      <c r="K205" s="590"/>
      <c r="L205" s="591"/>
      <c r="M205" s="591"/>
      <c r="N205" s="591"/>
      <c r="O205" s="591"/>
      <c r="P205" s="591"/>
      <c r="Q205" s="591"/>
      <c r="R205" s="591"/>
      <c r="S205" s="591"/>
      <c r="T205" s="590"/>
      <c r="U205" s="590"/>
      <c r="V205" s="590"/>
      <c r="W205" s="590"/>
      <c r="X205" s="590"/>
      <c r="Y205" s="592"/>
      <c r="Z205" s="605"/>
      <c r="AA205" s="605"/>
      <c r="AB205" s="605"/>
      <c r="AC205" s="605"/>
      <c r="AD205" s="585"/>
      <c r="AE205" s="586"/>
      <c r="AF205" s="586"/>
      <c r="AG205" s="585"/>
      <c r="AH205" s="587"/>
    </row>
    <row r="206" spans="1:34" ht="15.75">
      <c r="A206" s="552"/>
      <c r="B206" s="569" t="s">
        <v>300</v>
      </c>
      <c r="C206" s="588"/>
      <c r="D206" s="589"/>
      <c r="E206" s="589"/>
      <c r="F206" s="589"/>
      <c r="G206" s="589"/>
      <c r="H206" s="590"/>
      <c r="I206" s="590"/>
      <c r="J206" s="590"/>
      <c r="K206" s="590"/>
      <c r="L206" s="591"/>
      <c r="M206" s="591"/>
      <c r="N206" s="591"/>
      <c r="O206" s="591"/>
      <c r="P206" s="591"/>
      <c r="Q206" s="591"/>
      <c r="R206" s="591"/>
      <c r="S206" s="591"/>
      <c r="T206" s="590"/>
      <c r="U206" s="590"/>
      <c r="V206" s="590"/>
      <c r="W206" s="590"/>
      <c r="X206" s="590"/>
      <c r="Y206" s="592"/>
      <c r="Z206" s="605"/>
      <c r="AA206" s="605"/>
      <c r="AB206" s="605"/>
      <c r="AC206" s="605"/>
      <c r="AD206" s="585"/>
      <c r="AE206" s="586"/>
      <c r="AF206" s="586"/>
      <c r="AG206" s="585"/>
      <c r="AH206" s="587"/>
    </row>
    <row r="207" spans="1:34" ht="15.75">
      <c r="A207" s="552"/>
      <c r="B207" s="569" t="s">
        <v>301</v>
      </c>
      <c r="C207" s="588"/>
      <c r="D207" s="589"/>
      <c r="E207" s="589"/>
      <c r="F207" s="589"/>
      <c r="G207" s="589"/>
      <c r="H207" s="590"/>
      <c r="I207" s="590"/>
      <c r="J207" s="590"/>
      <c r="K207" s="590"/>
      <c r="L207" s="591"/>
      <c r="M207" s="591"/>
      <c r="N207" s="591"/>
      <c r="O207" s="591"/>
      <c r="P207" s="591"/>
      <c r="Q207" s="591"/>
      <c r="R207" s="591"/>
      <c r="S207" s="591"/>
      <c r="T207" s="590"/>
      <c r="U207" s="590"/>
      <c r="V207" s="590"/>
      <c r="W207" s="590"/>
      <c r="X207" s="590"/>
      <c r="Y207" s="592"/>
      <c r="Z207" s="605"/>
      <c r="AA207" s="605"/>
      <c r="AB207" s="605"/>
      <c r="AC207" s="605"/>
      <c r="AD207" s="585"/>
      <c r="AE207" s="586"/>
      <c r="AF207" s="586"/>
      <c r="AG207" s="585"/>
      <c r="AH207" s="587"/>
    </row>
    <row r="208" spans="1:34" ht="15.75">
      <c r="A208" s="552"/>
      <c r="B208" s="582" t="s">
        <v>302</v>
      </c>
      <c r="C208" s="588"/>
      <c r="D208" s="589"/>
      <c r="E208" s="589"/>
      <c r="F208" s="589"/>
      <c r="G208" s="589"/>
      <c r="H208" s="590"/>
      <c r="I208" s="590"/>
      <c r="J208" s="590"/>
      <c r="K208" s="590"/>
      <c r="L208" s="591"/>
      <c r="M208" s="591"/>
      <c r="N208" s="591"/>
      <c r="O208" s="591"/>
      <c r="P208" s="591"/>
      <c r="Q208" s="591"/>
      <c r="R208" s="591"/>
      <c r="S208" s="591"/>
      <c r="T208" s="590"/>
      <c r="U208" s="590"/>
      <c r="V208" s="590"/>
      <c r="W208" s="590"/>
      <c r="X208" s="590"/>
      <c r="Y208" s="592"/>
      <c r="Z208" s="605"/>
      <c r="AA208" s="605"/>
      <c r="AB208" s="605"/>
      <c r="AC208" s="605"/>
      <c r="AD208" s="585"/>
      <c r="AE208" s="586"/>
      <c r="AF208" s="586"/>
      <c r="AG208" s="585"/>
      <c r="AH208" s="587"/>
    </row>
    <row r="209" spans="1:34" ht="15.75">
      <c r="A209" s="552"/>
      <c r="B209" s="569" t="s">
        <v>303</v>
      </c>
      <c r="C209" s="588"/>
      <c r="D209" s="589"/>
      <c r="E209" s="589"/>
      <c r="F209" s="589"/>
      <c r="G209" s="589"/>
      <c r="H209" s="590"/>
      <c r="I209" s="590"/>
      <c r="J209" s="590"/>
      <c r="K209" s="590"/>
      <c r="L209" s="591"/>
      <c r="M209" s="591"/>
      <c r="N209" s="591"/>
      <c r="O209" s="591"/>
      <c r="P209" s="591"/>
      <c r="Q209" s="591"/>
      <c r="R209" s="591"/>
      <c r="S209" s="591"/>
      <c r="T209" s="590"/>
      <c r="U209" s="590"/>
      <c r="V209" s="590"/>
      <c r="W209" s="590"/>
      <c r="X209" s="590"/>
      <c r="Y209" s="592"/>
      <c r="Z209" s="605"/>
      <c r="AA209" s="605"/>
      <c r="AB209" s="605"/>
      <c r="AC209" s="605"/>
      <c r="AD209" s="585"/>
      <c r="AE209" s="586"/>
      <c r="AF209" s="586"/>
      <c r="AG209" s="585"/>
      <c r="AH209" s="587"/>
    </row>
    <row r="210" spans="1:34" ht="27">
      <c r="A210" s="552"/>
      <c r="B210" s="582" t="s">
        <v>309</v>
      </c>
      <c r="C210" s="588"/>
      <c r="D210" s="589"/>
      <c r="E210" s="589"/>
      <c r="F210" s="589"/>
      <c r="G210" s="589"/>
      <c r="H210" s="590"/>
      <c r="I210" s="590"/>
      <c r="J210" s="590"/>
      <c r="K210" s="590"/>
      <c r="L210" s="591"/>
      <c r="M210" s="591"/>
      <c r="N210" s="591"/>
      <c r="O210" s="591"/>
      <c r="P210" s="591"/>
      <c r="Q210" s="591"/>
      <c r="R210" s="591"/>
      <c r="S210" s="591"/>
      <c r="T210" s="590"/>
      <c r="U210" s="590"/>
      <c r="V210" s="590"/>
      <c r="W210" s="590"/>
      <c r="X210" s="590"/>
      <c r="Y210" s="592"/>
      <c r="Z210" s="605"/>
      <c r="AA210" s="605"/>
      <c r="AB210" s="605"/>
      <c r="AC210" s="605"/>
      <c r="AD210" s="585"/>
      <c r="AE210" s="586"/>
      <c r="AF210" s="586"/>
      <c r="AG210" s="585"/>
      <c r="AH210" s="587"/>
    </row>
    <row r="211" spans="1:34" ht="15.75">
      <c r="A211" s="552"/>
      <c r="B211" s="569" t="s">
        <v>310</v>
      </c>
      <c r="C211" s="588"/>
      <c r="D211" s="589"/>
      <c r="E211" s="589"/>
      <c r="F211" s="589"/>
      <c r="G211" s="589"/>
      <c r="H211" s="590"/>
      <c r="I211" s="590"/>
      <c r="J211" s="590"/>
      <c r="K211" s="590"/>
      <c r="L211" s="591"/>
      <c r="M211" s="591"/>
      <c r="N211" s="591"/>
      <c r="O211" s="591"/>
      <c r="P211" s="591"/>
      <c r="Q211" s="591"/>
      <c r="R211" s="591"/>
      <c r="S211" s="591"/>
      <c r="T211" s="590"/>
      <c r="U211" s="590"/>
      <c r="V211" s="590"/>
      <c r="W211" s="590"/>
      <c r="X211" s="590"/>
      <c r="Y211" s="592"/>
      <c r="Z211" s="605"/>
      <c r="AA211" s="605"/>
      <c r="AB211" s="605"/>
      <c r="AC211" s="605"/>
      <c r="AD211" s="585"/>
      <c r="AE211" s="586"/>
      <c r="AF211" s="586"/>
      <c r="AG211" s="585"/>
      <c r="AH211" s="587"/>
    </row>
    <row r="212" spans="1:34" ht="15.75">
      <c r="A212" s="552"/>
      <c r="B212" s="569" t="s">
        <v>311</v>
      </c>
      <c r="C212" s="588"/>
      <c r="D212" s="589"/>
      <c r="E212" s="589"/>
      <c r="F212" s="589"/>
      <c r="G212" s="589"/>
      <c r="H212" s="590"/>
      <c r="I212" s="590"/>
      <c r="J212" s="590"/>
      <c r="K212" s="590"/>
      <c r="L212" s="591"/>
      <c r="M212" s="591"/>
      <c r="N212" s="591"/>
      <c r="O212" s="591"/>
      <c r="P212" s="591"/>
      <c r="Q212" s="591"/>
      <c r="R212" s="591"/>
      <c r="S212" s="591"/>
      <c r="T212" s="590"/>
      <c r="U212" s="590"/>
      <c r="V212" s="590"/>
      <c r="W212" s="590"/>
      <c r="X212" s="590"/>
      <c r="Y212" s="592"/>
      <c r="Z212" s="605"/>
      <c r="AA212" s="605"/>
      <c r="AB212" s="605"/>
      <c r="AC212" s="605"/>
      <c r="AD212" s="585"/>
      <c r="AE212" s="586"/>
      <c r="AF212" s="586"/>
      <c r="AG212" s="585"/>
      <c r="AH212" s="587"/>
    </row>
    <row r="213" spans="1:34" ht="15.75">
      <c r="A213" s="552"/>
      <c r="B213" s="569" t="s">
        <v>312</v>
      </c>
      <c r="C213" s="588"/>
      <c r="D213" s="589"/>
      <c r="E213" s="589"/>
      <c r="F213" s="589"/>
      <c r="G213" s="589"/>
      <c r="H213" s="590"/>
      <c r="I213" s="590"/>
      <c r="J213" s="590"/>
      <c r="K213" s="590"/>
      <c r="L213" s="591"/>
      <c r="M213" s="591"/>
      <c r="N213" s="591"/>
      <c r="O213" s="591"/>
      <c r="P213" s="591"/>
      <c r="Q213" s="591"/>
      <c r="R213" s="591"/>
      <c r="S213" s="591"/>
      <c r="T213" s="590"/>
      <c r="U213" s="590"/>
      <c r="V213" s="590"/>
      <c r="W213" s="590"/>
      <c r="X213" s="590"/>
      <c r="Y213" s="592"/>
      <c r="Z213" s="605"/>
      <c r="AA213" s="605"/>
      <c r="AB213" s="605"/>
      <c r="AC213" s="605"/>
      <c r="AD213" s="585"/>
      <c r="AE213" s="586"/>
      <c r="AF213" s="586"/>
      <c r="AG213" s="585"/>
      <c r="AH213" s="587"/>
    </row>
    <row r="214" spans="1:34" ht="15.75">
      <c r="A214" s="552"/>
      <c r="B214" s="569" t="s">
        <v>313</v>
      </c>
      <c r="C214" s="588"/>
      <c r="D214" s="589"/>
      <c r="E214" s="589"/>
      <c r="F214" s="589"/>
      <c r="G214" s="589"/>
      <c r="H214" s="611">
        <f aca="true" t="shared" si="61" ref="H214:AC214">SUM(H215:H216)</f>
        <v>0</v>
      </c>
      <c r="I214" s="611">
        <f t="shared" si="61"/>
        <v>0</v>
      </c>
      <c r="J214" s="611">
        <f t="shared" si="61"/>
        <v>0</v>
      </c>
      <c r="K214" s="611">
        <f t="shared" si="61"/>
        <v>0</v>
      </c>
      <c r="L214" s="594">
        <f t="shared" si="61"/>
        <v>0</v>
      </c>
      <c r="M214" s="594">
        <f t="shared" si="61"/>
        <v>0</v>
      </c>
      <c r="N214" s="594">
        <f t="shared" si="61"/>
        <v>0</v>
      </c>
      <c r="O214" s="594">
        <f t="shared" si="61"/>
        <v>0</v>
      </c>
      <c r="P214" s="595">
        <f t="shared" si="61"/>
        <v>0</v>
      </c>
      <c r="Q214" s="595">
        <f t="shared" si="61"/>
        <v>0</v>
      </c>
      <c r="R214" s="595">
        <f t="shared" si="61"/>
        <v>0</v>
      </c>
      <c r="S214" s="595">
        <f t="shared" si="61"/>
        <v>0</v>
      </c>
      <c r="T214" s="612">
        <f t="shared" si="61"/>
        <v>0</v>
      </c>
      <c r="U214" s="612">
        <f t="shared" si="61"/>
        <v>0</v>
      </c>
      <c r="V214" s="612">
        <f t="shared" si="61"/>
        <v>0</v>
      </c>
      <c r="W214" s="612">
        <f t="shared" si="61"/>
        <v>0</v>
      </c>
      <c r="X214" s="612">
        <f t="shared" si="61"/>
        <v>0</v>
      </c>
      <c r="Y214" s="601">
        <f t="shared" si="61"/>
        <v>0</v>
      </c>
      <c r="Z214" s="606">
        <f t="shared" si="61"/>
        <v>0</v>
      </c>
      <c r="AA214" s="606">
        <f t="shared" si="61"/>
        <v>0</v>
      </c>
      <c r="AB214" s="606">
        <f t="shared" si="61"/>
        <v>0</v>
      </c>
      <c r="AC214" s="606">
        <f t="shared" si="61"/>
        <v>0</v>
      </c>
      <c r="AD214" s="585"/>
      <c r="AE214" s="586"/>
      <c r="AF214" s="586"/>
      <c r="AG214" s="585"/>
      <c r="AH214" s="587"/>
    </row>
    <row r="215" spans="1:34" ht="15.75" hidden="1">
      <c r="A215" s="552"/>
      <c r="B215" s="645"/>
      <c r="C215" s="588"/>
      <c r="D215" s="589"/>
      <c r="E215" s="589"/>
      <c r="F215" s="554"/>
      <c r="G215" s="554"/>
      <c r="H215" s="570"/>
      <c r="I215" s="570"/>
      <c r="J215" s="570"/>
      <c r="K215" s="570"/>
      <c r="L215" s="571"/>
      <c r="M215" s="571"/>
      <c r="N215" s="571"/>
      <c r="O215" s="571"/>
      <c r="P215" s="571"/>
      <c r="Q215" s="571"/>
      <c r="R215" s="571"/>
      <c r="S215" s="571"/>
      <c r="T215" s="570"/>
      <c r="U215" s="570"/>
      <c r="V215" s="570"/>
      <c r="W215" s="570"/>
      <c r="X215" s="570"/>
      <c r="Y215" s="572"/>
      <c r="Z215" s="626"/>
      <c r="AA215" s="626"/>
      <c r="AB215" s="626"/>
      <c r="AC215" s="626"/>
      <c r="AD215" s="585"/>
      <c r="AE215" s="586"/>
      <c r="AF215" s="586"/>
      <c r="AG215" s="585"/>
      <c r="AH215" s="587"/>
    </row>
    <row r="216" spans="1:34" ht="15.75" hidden="1">
      <c r="A216" s="552"/>
      <c r="B216" s="645"/>
      <c r="C216" s="588"/>
      <c r="D216" s="589"/>
      <c r="E216" s="589"/>
      <c r="F216" s="554"/>
      <c r="G216" s="554"/>
      <c r="H216" s="570"/>
      <c r="I216" s="570"/>
      <c r="J216" s="570"/>
      <c r="K216" s="570"/>
      <c r="L216" s="571"/>
      <c r="M216" s="571"/>
      <c r="N216" s="571"/>
      <c r="O216" s="571"/>
      <c r="P216" s="571"/>
      <c r="Q216" s="571"/>
      <c r="R216" s="571"/>
      <c r="S216" s="571"/>
      <c r="T216" s="570"/>
      <c r="U216" s="570"/>
      <c r="V216" s="570"/>
      <c r="W216" s="570"/>
      <c r="X216" s="570"/>
      <c r="Y216" s="572"/>
      <c r="Z216" s="626"/>
      <c r="AA216" s="626"/>
      <c r="AB216" s="626"/>
      <c r="AC216" s="626"/>
      <c r="AD216" s="585"/>
      <c r="AE216" s="586"/>
      <c r="AF216" s="586"/>
      <c r="AG216" s="585"/>
      <c r="AH216" s="587"/>
    </row>
    <row r="217" spans="1:34" ht="15.75">
      <c r="A217" s="552"/>
      <c r="B217" s="561" t="s">
        <v>314</v>
      </c>
      <c r="C217" s="588"/>
      <c r="D217" s="589"/>
      <c r="E217" s="589"/>
      <c r="F217" s="589"/>
      <c r="G217" s="589"/>
      <c r="H217" s="611">
        <f>H218+H220+H221+H224+H225+H227+H229+H230+H231+H232</f>
        <v>0</v>
      </c>
      <c r="I217" s="611">
        <f aca="true" t="shared" si="62" ref="I217:AC217">I218+I220+I221+I224+I225+I227+I229+I230+I231+I232</f>
        <v>0</v>
      </c>
      <c r="J217" s="611">
        <f t="shared" si="62"/>
        <v>0</v>
      </c>
      <c r="K217" s="611">
        <f t="shared" si="62"/>
        <v>0</v>
      </c>
      <c r="L217" s="594">
        <f t="shared" si="62"/>
        <v>0</v>
      </c>
      <c r="M217" s="594">
        <f t="shared" si="62"/>
        <v>0</v>
      </c>
      <c r="N217" s="594">
        <f t="shared" si="62"/>
        <v>0</v>
      </c>
      <c r="O217" s="594">
        <f t="shared" si="62"/>
        <v>0</v>
      </c>
      <c r="P217" s="595">
        <f t="shared" si="62"/>
        <v>0</v>
      </c>
      <c r="Q217" s="595">
        <f t="shared" si="62"/>
        <v>0</v>
      </c>
      <c r="R217" s="595">
        <f t="shared" si="62"/>
        <v>0</v>
      </c>
      <c r="S217" s="595">
        <f t="shared" si="62"/>
        <v>0</v>
      </c>
      <c r="T217" s="612">
        <f t="shared" si="62"/>
        <v>0</v>
      </c>
      <c r="U217" s="612">
        <f t="shared" si="62"/>
        <v>0</v>
      </c>
      <c r="V217" s="612">
        <f t="shared" si="62"/>
        <v>0</v>
      </c>
      <c r="W217" s="612">
        <f t="shared" si="62"/>
        <v>0</v>
      </c>
      <c r="X217" s="612">
        <f t="shared" si="62"/>
        <v>0</v>
      </c>
      <c r="Y217" s="601">
        <f t="shared" si="62"/>
        <v>0</v>
      </c>
      <c r="Z217" s="606">
        <f t="shared" si="62"/>
        <v>0</v>
      </c>
      <c r="AA217" s="606">
        <f t="shared" si="62"/>
        <v>0</v>
      </c>
      <c r="AB217" s="606">
        <f t="shared" si="62"/>
        <v>0</v>
      </c>
      <c r="AC217" s="606">
        <f t="shared" si="62"/>
        <v>0</v>
      </c>
      <c r="AD217" s="585"/>
      <c r="AE217" s="586"/>
      <c r="AF217" s="586"/>
      <c r="AG217" s="585"/>
      <c r="AH217" s="587"/>
    </row>
    <row r="218" spans="1:34" ht="15.75">
      <c r="A218" s="552"/>
      <c r="B218" s="569" t="s">
        <v>299</v>
      </c>
      <c r="C218" s="588"/>
      <c r="D218" s="589"/>
      <c r="E218" s="589"/>
      <c r="F218" s="589"/>
      <c r="G218" s="589"/>
      <c r="H218" s="611">
        <f>H219</f>
        <v>0</v>
      </c>
      <c r="I218" s="611">
        <f aca="true" t="shared" si="63" ref="I218:AC218">I219</f>
        <v>0</v>
      </c>
      <c r="J218" s="611">
        <f t="shared" si="63"/>
        <v>0</v>
      </c>
      <c r="K218" s="611">
        <f t="shared" si="63"/>
        <v>0</v>
      </c>
      <c r="L218" s="594">
        <f t="shared" si="63"/>
        <v>0</v>
      </c>
      <c r="M218" s="594">
        <f t="shared" si="63"/>
        <v>0</v>
      </c>
      <c r="N218" s="594">
        <f t="shared" si="63"/>
        <v>0</v>
      </c>
      <c r="O218" s="594">
        <f t="shared" si="63"/>
        <v>0</v>
      </c>
      <c r="P218" s="595">
        <f t="shared" si="63"/>
        <v>0</v>
      </c>
      <c r="Q218" s="595">
        <f t="shared" si="63"/>
        <v>0</v>
      </c>
      <c r="R218" s="595">
        <f t="shared" si="63"/>
        <v>0</v>
      </c>
      <c r="S218" s="595">
        <f t="shared" si="63"/>
        <v>0</v>
      </c>
      <c r="T218" s="612">
        <f t="shared" si="63"/>
        <v>0</v>
      </c>
      <c r="U218" s="612">
        <f t="shared" si="63"/>
        <v>0</v>
      </c>
      <c r="V218" s="612">
        <f t="shared" si="63"/>
        <v>0</v>
      </c>
      <c r="W218" s="612">
        <f t="shared" si="63"/>
        <v>0</v>
      </c>
      <c r="X218" s="612">
        <f t="shared" si="63"/>
        <v>0</v>
      </c>
      <c r="Y218" s="601">
        <f t="shared" si="63"/>
        <v>0</v>
      </c>
      <c r="Z218" s="606">
        <f t="shared" si="63"/>
        <v>0</v>
      </c>
      <c r="AA218" s="606">
        <f t="shared" si="63"/>
        <v>0</v>
      </c>
      <c r="AB218" s="606">
        <f t="shared" si="63"/>
        <v>0</v>
      </c>
      <c r="AC218" s="606">
        <f t="shared" si="63"/>
        <v>0</v>
      </c>
      <c r="AD218" s="585"/>
      <c r="AE218" s="586"/>
      <c r="AF218" s="586"/>
      <c r="AG218" s="585"/>
      <c r="AH218" s="587"/>
    </row>
    <row r="219" spans="1:34" s="642" customFormat="1" ht="15.75" hidden="1">
      <c r="A219" s="637"/>
      <c r="B219" s="647"/>
      <c r="C219" s="638"/>
      <c r="D219" s="639"/>
      <c r="E219" s="639"/>
      <c r="F219" s="638"/>
      <c r="G219" s="638"/>
      <c r="H219" s="570"/>
      <c r="I219" s="570"/>
      <c r="J219" s="570"/>
      <c r="K219" s="570"/>
      <c r="L219" s="571"/>
      <c r="M219" s="571"/>
      <c r="N219" s="571"/>
      <c r="O219" s="571"/>
      <c r="P219" s="640"/>
      <c r="Q219" s="640"/>
      <c r="R219" s="640"/>
      <c r="S219" s="640"/>
      <c r="T219" s="641"/>
      <c r="U219" s="641"/>
      <c r="V219" s="641"/>
      <c r="W219" s="641"/>
      <c r="X219" s="641"/>
      <c r="Y219" s="572"/>
      <c r="Z219" s="626"/>
      <c r="AA219" s="626"/>
      <c r="AB219" s="626"/>
      <c r="AC219" s="626"/>
      <c r="AD219" s="585"/>
      <c r="AE219" s="586"/>
      <c r="AF219" s="586"/>
      <c r="AG219" s="585"/>
      <c r="AH219" s="587"/>
    </row>
    <row r="220" spans="1:34" ht="15.75">
      <c r="A220" s="552"/>
      <c r="B220" s="569" t="s">
        <v>300</v>
      </c>
      <c r="C220" s="588"/>
      <c r="D220" s="589"/>
      <c r="E220" s="589"/>
      <c r="F220" s="589"/>
      <c r="G220" s="589"/>
      <c r="H220" s="590"/>
      <c r="I220" s="590"/>
      <c r="J220" s="590"/>
      <c r="K220" s="590"/>
      <c r="L220" s="591"/>
      <c r="M220" s="591"/>
      <c r="N220" s="591"/>
      <c r="O220" s="591"/>
      <c r="P220" s="591"/>
      <c r="Q220" s="591"/>
      <c r="R220" s="591"/>
      <c r="S220" s="591"/>
      <c r="T220" s="590"/>
      <c r="U220" s="590"/>
      <c r="V220" s="590"/>
      <c r="W220" s="590"/>
      <c r="X220" s="590"/>
      <c r="Y220" s="592"/>
      <c r="Z220" s="605"/>
      <c r="AA220" s="605"/>
      <c r="AB220" s="605"/>
      <c r="AC220" s="605"/>
      <c r="AD220" s="585"/>
      <c r="AE220" s="586"/>
      <c r="AF220" s="586"/>
      <c r="AG220" s="585"/>
      <c r="AH220" s="587"/>
    </row>
    <row r="221" spans="1:34" ht="15.75">
      <c r="A221" s="552"/>
      <c r="B221" s="569" t="s">
        <v>301</v>
      </c>
      <c r="C221" s="588"/>
      <c r="D221" s="589"/>
      <c r="E221" s="589"/>
      <c r="F221" s="589"/>
      <c r="G221" s="589"/>
      <c r="H221" s="611">
        <f>SUM(H222:H223)</f>
        <v>0</v>
      </c>
      <c r="I221" s="611">
        <f aca="true" t="shared" si="64" ref="I221:AC221">SUM(I222:I223)</f>
        <v>0</v>
      </c>
      <c r="J221" s="611">
        <f t="shared" si="64"/>
        <v>0</v>
      </c>
      <c r="K221" s="611">
        <f t="shared" si="64"/>
        <v>0</v>
      </c>
      <c r="L221" s="594">
        <f t="shared" si="64"/>
        <v>0</v>
      </c>
      <c r="M221" s="594">
        <f t="shared" si="64"/>
        <v>0</v>
      </c>
      <c r="N221" s="594">
        <f t="shared" si="64"/>
        <v>0</v>
      </c>
      <c r="O221" s="594">
        <f t="shared" si="64"/>
        <v>0</v>
      </c>
      <c r="P221" s="595">
        <f t="shared" si="64"/>
        <v>0</v>
      </c>
      <c r="Q221" s="595">
        <f t="shared" si="64"/>
        <v>0</v>
      </c>
      <c r="R221" s="595">
        <f t="shared" si="64"/>
        <v>0</v>
      </c>
      <c r="S221" s="595">
        <f t="shared" si="64"/>
        <v>0</v>
      </c>
      <c r="T221" s="612">
        <f t="shared" si="64"/>
        <v>0</v>
      </c>
      <c r="U221" s="612">
        <f t="shared" si="64"/>
        <v>0</v>
      </c>
      <c r="V221" s="612">
        <f t="shared" si="64"/>
        <v>0</v>
      </c>
      <c r="W221" s="612">
        <f t="shared" si="64"/>
        <v>0</v>
      </c>
      <c r="X221" s="612">
        <f t="shared" si="64"/>
        <v>0</v>
      </c>
      <c r="Y221" s="601">
        <f t="shared" si="64"/>
        <v>0</v>
      </c>
      <c r="Z221" s="606">
        <f t="shared" si="64"/>
        <v>0</v>
      </c>
      <c r="AA221" s="606">
        <f t="shared" si="64"/>
        <v>0</v>
      </c>
      <c r="AB221" s="606">
        <f t="shared" si="64"/>
        <v>0</v>
      </c>
      <c r="AC221" s="606">
        <f t="shared" si="64"/>
        <v>0</v>
      </c>
      <c r="AD221" s="585"/>
      <c r="AE221" s="586"/>
      <c r="AF221" s="586"/>
      <c r="AG221" s="585"/>
      <c r="AH221" s="587"/>
    </row>
    <row r="222" spans="1:34" s="642" customFormat="1" ht="15.75" hidden="1">
      <c r="A222" s="637"/>
      <c r="B222" s="647"/>
      <c r="C222" s="638"/>
      <c r="D222" s="639"/>
      <c r="E222" s="639"/>
      <c r="F222" s="638"/>
      <c r="G222" s="638"/>
      <c r="H222" s="570"/>
      <c r="I222" s="570"/>
      <c r="J222" s="570"/>
      <c r="K222" s="570"/>
      <c r="L222" s="571"/>
      <c r="M222" s="571"/>
      <c r="N222" s="571"/>
      <c r="O222" s="571"/>
      <c r="P222" s="640"/>
      <c r="Q222" s="640"/>
      <c r="R222" s="640"/>
      <c r="S222" s="640"/>
      <c r="T222" s="641"/>
      <c r="U222" s="641"/>
      <c r="V222" s="641"/>
      <c r="W222" s="641"/>
      <c r="X222" s="641"/>
      <c r="Y222" s="572"/>
      <c r="Z222" s="626"/>
      <c r="AA222" s="626"/>
      <c r="AB222" s="626"/>
      <c r="AC222" s="626"/>
      <c r="AD222" s="585"/>
      <c r="AE222" s="586"/>
      <c r="AF222" s="586"/>
      <c r="AG222" s="585"/>
      <c r="AH222" s="587"/>
    </row>
    <row r="223" spans="1:34" s="642" customFormat="1" ht="15.75" hidden="1">
      <c r="A223" s="637"/>
      <c r="B223" s="647"/>
      <c r="C223" s="638"/>
      <c r="D223" s="639"/>
      <c r="E223" s="639"/>
      <c r="F223" s="638"/>
      <c r="G223" s="638"/>
      <c r="H223" s="570"/>
      <c r="I223" s="570"/>
      <c r="J223" s="570"/>
      <c r="K223" s="570"/>
      <c r="L223" s="571"/>
      <c r="M223" s="571"/>
      <c r="N223" s="571"/>
      <c r="O223" s="571"/>
      <c r="P223" s="640"/>
      <c r="Q223" s="640"/>
      <c r="R223" s="640"/>
      <c r="S223" s="640"/>
      <c r="T223" s="641"/>
      <c r="U223" s="641"/>
      <c r="V223" s="641"/>
      <c r="W223" s="641"/>
      <c r="X223" s="641"/>
      <c r="Y223" s="572"/>
      <c r="Z223" s="626"/>
      <c r="AA223" s="626"/>
      <c r="AB223" s="626"/>
      <c r="AC223" s="626"/>
      <c r="AD223" s="585"/>
      <c r="AE223" s="586"/>
      <c r="AF223" s="586"/>
      <c r="AG223" s="585"/>
      <c r="AH223" s="587"/>
    </row>
    <row r="224" spans="1:34" ht="15.75">
      <c r="A224" s="552"/>
      <c r="B224" s="582" t="s">
        <v>302</v>
      </c>
      <c r="C224" s="588"/>
      <c r="D224" s="589"/>
      <c r="E224" s="589"/>
      <c r="F224" s="589"/>
      <c r="G224" s="589"/>
      <c r="H224" s="590"/>
      <c r="I224" s="590"/>
      <c r="J224" s="590"/>
      <c r="K224" s="590"/>
      <c r="L224" s="591"/>
      <c r="M224" s="591"/>
      <c r="N224" s="591"/>
      <c r="O224" s="591"/>
      <c r="P224" s="591"/>
      <c r="Q224" s="591"/>
      <c r="R224" s="591"/>
      <c r="S224" s="591"/>
      <c r="T224" s="570"/>
      <c r="U224" s="570"/>
      <c r="V224" s="570"/>
      <c r="W224" s="570"/>
      <c r="X224" s="570"/>
      <c r="Y224" s="572"/>
      <c r="Z224" s="626"/>
      <c r="AA224" s="626"/>
      <c r="AB224" s="626"/>
      <c r="AC224" s="626"/>
      <c r="AD224" s="585"/>
      <c r="AE224" s="586"/>
      <c r="AF224" s="586"/>
      <c r="AG224" s="585"/>
      <c r="AH224" s="587"/>
    </row>
    <row r="225" spans="1:34" ht="15.75">
      <c r="A225" s="552"/>
      <c r="B225" s="569" t="s">
        <v>303</v>
      </c>
      <c r="C225" s="588"/>
      <c r="D225" s="589"/>
      <c r="E225" s="589"/>
      <c r="F225" s="589"/>
      <c r="G225" s="589"/>
      <c r="H225" s="611">
        <f>H226</f>
        <v>0</v>
      </c>
      <c r="I225" s="611">
        <f aca="true" t="shared" si="65" ref="I225:AC225">I226</f>
        <v>0</v>
      </c>
      <c r="J225" s="611">
        <f t="shared" si="65"/>
        <v>0</v>
      </c>
      <c r="K225" s="611">
        <f t="shared" si="65"/>
        <v>0</v>
      </c>
      <c r="L225" s="594">
        <f t="shared" si="65"/>
        <v>0</v>
      </c>
      <c r="M225" s="594">
        <f t="shared" si="65"/>
        <v>0</v>
      </c>
      <c r="N225" s="594">
        <f t="shared" si="65"/>
        <v>0</v>
      </c>
      <c r="O225" s="594">
        <f t="shared" si="65"/>
        <v>0</v>
      </c>
      <c r="P225" s="595">
        <f t="shared" si="65"/>
        <v>0</v>
      </c>
      <c r="Q225" s="595">
        <f t="shared" si="65"/>
        <v>0</v>
      </c>
      <c r="R225" s="595">
        <f t="shared" si="65"/>
        <v>0</v>
      </c>
      <c r="S225" s="595">
        <f t="shared" si="65"/>
        <v>0</v>
      </c>
      <c r="T225" s="612">
        <f t="shared" si="65"/>
        <v>0</v>
      </c>
      <c r="U225" s="612">
        <f t="shared" si="65"/>
        <v>0</v>
      </c>
      <c r="V225" s="612">
        <f t="shared" si="65"/>
        <v>0</v>
      </c>
      <c r="W225" s="612">
        <f t="shared" si="65"/>
        <v>0</v>
      </c>
      <c r="X225" s="612">
        <f t="shared" si="65"/>
        <v>0</v>
      </c>
      <c r="Y225" s="601">
        <f t="shared" si="65"/>
        <v>0</v>
      </c>
      <c r="Z225" s="606">
        <f t="shared" si="65"/>
        <v>0</v>
      </c>
      <c r="AA225" s="606">
        <f t="shared" si="65"/>
        <v>0</v>
      </c>
      <c r="AB225" s="606">
        <f t="shared" si="65"/>
        <v>0</v>
      </c>
      <c r="AC225" s="606">
        <f t="shared" si="65"/>
        <v>0</v>
      </c>
      <c r="AD225" s="585"/>
      <c r="AE225" s="586"/>
      <c r="AF225" s="586"/>
      <c r="AG225" s="585"/>
      <c r="AH225" s="587"/>
    </row>
    <row r="226" spans="1:34" ht="15.75" hidden="1">
      <c r="A226" s="552"/>
      <c r="B226" s="645"/>
      <c r="C226" s="554"/>
      <c r="D226" s="589"/>
      <c r="E226" s="589"/>
      <c r="F226" s="554"/>
      <c r="G226" s="554"/>
      <c r="H226" s="570"/>
      <c r="I226" s="570"/>
      <c r="J226" s="570"/>
      <c r="K226" s="570"/>
      <c r="L226" s="571"/>
      <c r="M226" s="571"/>
      <c r="N226" s="571"/>
      <c r="O226" s="571"/>
      <c r="P226" s="571"/>
      <c r="Q226" s="571"/>
      <c r="R226" s="571"/>
      <c r="S226" s="571"/>
      <c r="T226" s="570"/>
      <c r="U226" s="570"/>
      <c r="V226" s="570"/>
      <c r="W226" s="570"/>
      <c r="X226" s="570"/>
      <c r="Y226" s="572"/>
      <c r="Z226" s="626"/>
      <c r="AA226" s="626"/>
      <c r="AB226" s="626"/>
      <c r="AC226" s="626"/>
      <c r="AD226" s="585"/>
      <c r="AE226" s="586"/>
      <c r="AF226" s="586"/>
      <c r="AG226" s="585"/>
      <c r="AH226" s="587"/>
    </row>
    <row r="227" spans="1:34" ht="27">
      <c r="A227" s="552"/>
      <c r="B227" s="582" t="s">
        <v>309</v>
      </c>
      <c r="C227" s="588"/>
      <c r="D227" s="589"/>
      <c r="E227" s="589"/>
      <c r="F227" s="589"/>
      <c r="G227" s="589"/>
      <c r="H227" s="590">
        <f>H228</f>
        <v>0</v>
      </c>
      <c r="I227" s="590">
        <f aca="true" t="shared" si="66" ref="I227:AC227">I228</f>
        <v>0</v>
      </c>
      <c r="J227" s="590">
        <f t="shared" si="66"/>
        <v>0</v>
      </c>
      <c r="K227" s="590">
        <f t="shared" si="66"/>
        <v>0</v>
      </c>
      <c r="L227" s="591">
        <f t="shared" si="66"/>
        <v>0</v>
      </c>
      <c r="M227" s="591">
        <f t="shared" si="66"/>
        <v>0</v>
      </c>
      <c r="N227" s="591">
        <f t="shared" si="66"/>
        <v>0</v>
      </c>
      <c r="O227" s="591">
        <f t="shared" si="66"/>
        <v>0</v>
      </c>
      <c r="P227" s="591">
        <f t="shared" si="66"/>
        <v>0</v>
      </c>
      <c r="Q227" s="591">
        <f t="shared" si="66"/>
        <v>0</v>
      </c>
      <c r="R227" s="591">
        <f t="shared" si="66"/>
        <v>0</v>
      </c>
      <c r="S227" s="591">
        <f t="shared" si="66"/>
        <v>0</v>
      </c>
      <c r="T227" s="590">
        <f t="shared" si="66"/>
        <v>0</v>
      </c>
      <c r="U227" s="590">
        <f t="shared" si="66"/>
        <v>0</v>
      </c>
      <c r="V227" s="590">
        <f t="shared" si="66"/>
        <v>0</v>
      </c>
      <c r="W227" s="590">
        <f t="shared" si="66"/>
        <v>0</v>
      </c>
      <c r="X227" s="590">
        <f t="shared" si="66"/>
        <v>0</v>
      </c>
      <c r="Y227" s="592">
        <f t="shared" si="66"/>
        <v>0</v>
      </c>
      <c r="Z227" s="605">
        <f t="shared" si="66"/>
        <v>0</v>
      </c>
      <c r="AA227" s="605">
        <f t="shared" si="66"/>
        <v>0</v>
      </c>
      <c r="AB227" s="605">
        <f t="shared" si="66"/>
        <v>0</v>
      </c>
      <c r="AC227" s="605">
        <f t="shared" si="66"/>
        <v>0</v>
      </c>
      <c r="AD227" s="585"/>
      <c r="AE227" s="586"/>
      <c r="AF227" s="586"/>
      <c r="AG227" s="585"/>
      <c r="AH227" s="587"/>
    </row>
    <row r="228" spans="1:34" ht="15.75" hidden="1">
      <c r="A228" s="552"/>
      <c r="B228" s="645"/>
      <c r="C228" s="554"/>
      <c r="D228" s="589"/>
      <c r="E228" s="589"/>
      <c r="F228" s="554"/>
      <c r="G228" s="554"/>
      <c r="H228" s="570"/>
      <c r="I228" s="570"/>
      <c r="J228" s="570"/>
      <c r="K228" s="570"/>
      <c r="L228" s="571"/>
      <c r="M228" s="571"/>
      <c r="N228" s="571"/>
      <c r="O228" s="571"/>
      <c r="P228" s="571"/>
      <c r="Q228" s="571"/>
      <c r="R228" s="571"/>
      <c r="S228" s="571"/>
      <c r="T228" s="570"/>
      <c r="U228" s="570"/>
      <c r="V228" s="570"/>
      <c r="W228" s="570"/>
      <c r="X228" s="570"/>
      <c r="Y228" s="572"/>
      <c r="Z228" s="626"/>
      <c r="AA228" s="626"/>
      <c r="AB228" s="626"/>
      <c r="AC228" s="626"/>
      <c r="AD228" s="585"/>
      <c r="AE228" s="586"/>
      <c r="AF228" s="586"/>
      <c r="AG228" s="585"/>
      <c r="AH228" s="587"/>
    </row>
    <row r="229" spans="1:34" ht="15.75">
      <c r="A229" s="552"/>
      <c r="B229" s="569" t="s">
        <v>310</v>
      </c>
      <c r="C229" s="588"/>
      <c r="D229" s="589"/>
      <c r="E229" s="589"/>
      <c r="F229" s="589"/>
      <c r="G229" s="589"/>
      <c r="H229" s="590"/>
      <c r="I229" s="590"/>
      <c r="J229" s="590"/>
      <c r="K229" s="590"/>
      <c r="L229" s="591"/>
      <c r="M229" s="591"/>
      <c r="N229" s="591"/>
      <c r="O229" s="591"/>
      <c r="P229" s="591"/>
      <c r="Q229" s="591"/>
      <c r="R229" s="591"/>
      <c r="S229" s="591"/>
      <c r="T229" s="590"/>
      <c r="U229" s="590"/>
      <c r="V229" s="590"/>
      <c r="W229" s="590"/>
      <c r="X229" s="590"/>
      <c r="Y229" s="592"/>
      <c r="Z229" s="605"/>
      <c r="AA229" s="605"/>
      <c r="AB229" s="605"/>
      <c r="AC229" s="605"/>
      <c r="AD229" s="575"/>
      <c r="AE229" s="575"/>
      <c r="AF229" s="575"/>
      <c r="AG229" s="575"/>
      <c r="AH229" s="575"/>
    </row>
    <row r="230" spans="1:34" ht="15.75">
      <c r="A230" s="552"/>
      <c r="B230" s="569" t="s">
        <v>311</v>
      </c>
      <c r="C230" s="588"/>
      <c r="D230" s="589"/>
      <c r="E230" s="589"/>
      <c r="F230" s="589"/>
      <c r="G230" s="589"/>
      <c r="H230" s="590"/>
      <c r="I230" s="590"/>
      <c r="J230" s="590"/>
      <c r="K230" s="590"/>
      <c r="L230" s="591"/>
      <c r="M230" s="591"/>
      <c r="N230" s="591"/>
      <c r="O230" s="591"/>
      <c r="P230" s="591"/>
      <c r="Q230" s="591"/>
      <c r="R230" s="591"/>
      <c r="S230" s="591"/>
      <c r="T230" s="590"/>
      <c r="U230" s="590"/>
      <c r="V230" s="590"/>
      <c r="W230" s="590"/>
      <c r="X230" s="590"/>
      <c r="Y230" s="592"/>
      <c r="Z230" s="605"/>
      <c r="AA230" s="605"/>
      <c r="AB230" s="605"/>
      <c r="AC230" s="605"/>
      <c r="AD230" s="575"/>
      <c r="AE230" s="575"/>
      <c r="AF230" s="575"/>
      <c r="AG230" s="575"/>
      <c r="AH230" s="575"/>
    </row>
    <row r="231" spans="1:34" ht="15.75">
      <c r="A231" s="552"/>
      <c r="B231" s="569" t="s">
        <v>312</v>
      </c>
      <c r="C231" s="588"/>
      <c r="D231" s="589"/>
      <c r="E231" s="589"/>
      <c r="F231" s="589"/>
      <c r="G231" s="589"/>
      <c r="H231" s="590"/>
      <c r="I231" s="590"/>
      <c r="J231" s="590"/>
      <c r="K231" s="590"/>
      <c r="L231" s="591"/>
      <c r="M231" s="591"/>
      <c r="N231" s="591"/>
      <c r="O231" s="591"/>
      <c r="P231" s="591"/>
      <c r="Q231" s="591"/>
      <c r="R231" s="591"/>
      <c r="S231" s="591"/>
      <c r="T231" s="590"/>
      <c r="U231" s="590"/>
      <c r="V231" s="590"/>
      <c r="W231" s="590"/>
      <c r="X231" s="590"/>
      <c r="Y231" s="592"/>
      <c r="Z231" s="605"/>
      <c r="AA231" s="605"/>
      <c r="AB231" s="605"/>
      <c r="AC231" s="605"/>
      <c r="AD231" s="575"/>
      <c r="AE231" s="575"/>
      <c r="AF231" s="575"/>
      <c r="AG231" s="575"/>
      <c r="AH231" s="575"/>
    </row>
    <row r="232" spans="1:34" ht="15.75">
      <c r="A232" s="552"/>
      <c r="B232" s="569" t="s">
        <v>313</v>
      </c>
      <c r="C232" s="588"/>
      <c r="D232" s="589"/>
      <c r="E232" s="589"/>
      <c r="F232" s="589"/>
      <c r="G232" s="589"/>
      <c r="H232" s="590"/>
      <c r="I232" s="590"/>
      <c r="J232" s="590"/>
      <c r="K232" s="590"/>
      <c r="L232" s="591"/>
      <c r="M232" s="591"/>
      <c r="N232" s="591"/>
      <c r="O232" s="591"/>
      <c r="P232" s="591"/>
      <c r="Q232" s="591"/>
      <c r="R232" s="591"/>
      <c r="S232" s="591"/>
      <c r="T232" s="590"/>
      <c r="U232" s="590"/>
      <c r="V232" s="590"/>
      <c r="W232" s="590"/>
      <c r="X232" s="590"/>
      <c r="Y232" s="592"/>
      <c r="Z232" s="605"/>
      <c r="AA232" s="605"/>
      <c r="AB232" s="605"/>
      <c r="AC232" s="605"/>
      <c r="AD232" s="575"/>
      <c r="AE232" s="575"/>
      <c r="AF232" s="575"/>
      <c r="AG232" s="575"/>
      <c r="AH232" s="575"/>
    </row>
    <row r="233" spans="1:34" ht="15.75">
      <c r="A233" s="552" t="s">
        <v>32</v>
      </c>
      <c r="B233" s="561" t="s">
        <v>392</v>
      </c>
      <c r="C233" s="588"/>
      <c r="D233" s="589"/>
      <c r="E233" s="589"/>
      <c r="F233" s="589"/>
      <c r="G233" s="589"/>
      <c r="H233" s="590"/>
      <c r="I233" s="590"/>
      <c r="J233" s="590"/>
      <c r="K233" s="590"/>
      <c r="L233" s="591"/>
      <c r="M233" s="591"/>
      <c r="N233" s="591"/>
      <c r="O233" s="591"/>
      <c r="P233" s="591"/>
      <c r="Q233" s="591"/>
      <c r="R233" s="591"/>
      <c r="S233" s="591"/>
      <c r="T233" s="590"/>
      <c r="U233" s="590"/>
      <c r="V233" s="590"/>
      <c r="W233" s="590"/>
      <c r="X233" s="590"/>
      <c r="Y233" s="592"/>
      <c r="Z233" s="605"/>
      <c r="AA233" s="605"/>
      <c r="AB233" s="605"/>
      <c r="AC233" s="605"/>
      <c r="AD233" s="575"/>
      <c r="AE233" s="575"/>
      <c r="AF233" s="575"/>
      <c r="AG233" s="575"/>
      <c r="AH233" s="575"/>
    </row>
    <row r="234" spans="1:34" ht="15.75">
      <c r="A234" s="552"/>
      <c r="B234" s="561" t="s">
        <v>407</v>
      </c>
      <c r="C234" s="588"/>
      <c r="D234" s="589"/>
      <c r="E234" s="589"/>
      <c r="F234" s="589"/>
      <c r="G234" s="589"/>
      <c r="H234" s="590"/>
      <c r="I234" s="590"/>
      <c r="J234" s="590"/>
      <c r="K234" s="590"/>
      <c r="L234" s="591"/>
      <c r="M234" s="591"/>
      <c r="N234" s="591"/>
      <c r="O234" s="591"/>
      <c r="P234" s="591"/>
      <c r="Q234" s="591"/>
      <c r="R234" s="591"/>
      <c r="S234" s="591"/>
      <c r="T234" s="590"/>
      <c r="U234" s="590"/>
      <c r="V234" s="590"/>
      <c r="W234" s="590"/>
      <c r="X234" s="590"/>
      <c r="Y234" s="592"/>
      <c r="Z234" s="605"/>
      <c r="AA234" s="605"/>
      <c r="AB234" s="605"/>
      <c r="AC234" s="605"/>
      <c r="AD234" s="575"/>
      <c r="AE234" s="575"/>
      <c r="AF234" s="575"/>
      <c r="AG234" s="575"/>
      <c r="AH234" s="575"/>
    </row>
    <row r="235" spans="1:34" ht="27">
      <c r="A235" s="552" t="s">
        <v>6</v>
      </c>
      <c r="B235" s="561" t="s">
        <v>408</v>
      </c>
      <c r="C235" s="588"/>
      <c r="D235" s="589"/>
      <c r="E235" s="589"/>
      <c r="F235" s="589"/>
      <c r="G235" s="589"/>
      <c r="H235" s="590"/>
      <c r="I235" s="590"/>
      <c r="J235" s="590"/>
      <c r="K235" s="590"/>
      <c r="L235" s="591"/>
      <c r="M235" s="591"/>
      <c r="N235" s="591"/>
      <c r="O235" s="591"/>
      <c r="P235" s="591"/>
      <c r="Q235" s="591"/>
      <c r="R235" s="591"/>
      <c r="S235" s="591"/>
      <c r="T235" s="590"/>
      <c r="U235" s="590"/>
      <c r="V235" s="590"/>
      <c r="W235" s="590"/>
      <c r="X235" s="590"/>
      <c r="Y235" s="592"/>
      <c r="Z235" s="605"/>
      <c r="AA235" s="605"/>
      <c r="AB235" s="605"/>
      <c r="AC235" s="605"/>
      <c r="AD235" s="575"/>
      <c r="AE235" s="575"/>
      <c r="AF235" s="575"/>
      <c r="AG235" s="575"/>
      <c r="AH235" s="575"/>
    </row>
    <row r="236" spans="1:34" ht="27">
      <c r="A236" s="552" t="s">
        <v>409</v>
      </c>
      <c r="B236" s="561" t="s">
        <v>410</v>
      </c>
      <c r="C236" s="588"/>
      <c r="D236" s="589"/>
      <c r="E236" s="589"/>
      <c r="F236" s="589"/>
      <c r="G236" s="589"/>
      <c r="H236" s="590"/>
      <c r="I236" s="590"/>
      <c r="J236" s="590"/>
      <c r="K236" s="590"/>
      <c r="L236" s="591"/>
      <c r="M236" s="591"/>
      <c r="N236" s="591"/>
      <c r="O236" s="591"/>
      <c r="P236" s="591"/>
      <c r="Q236" s="591"/>
      <c r="R236" s="591"/>
      <c r="S236" s="591"/>
      <c r="T236" s="590"/>
      <c r="U236" s="590"/>
      <c r="V236" s="590"/>
      <c r="W236" s="590"/>
      <c r="X236" s="590"/>
      <c r="Y236" s="592"/>
      <c r="Z236" s="605"/>
      <c r="AA236" s="605"/>
      <c r="AB236" s="605"/>
      <c r="AC236" s="605"/>
      <c r="AD236" s="575"/>
      <c r="AE236" s="575"/>
      <c r="AF236" s="575"/>
      <c r="AG236" s="575"/>
      <c r="AH236" s="575"/>
    </row>
    <row r="237" spans="1:34" ht="15.75">
      <c r="A237" s="623">
        <v>1</v>
      </c>
      <c r="B237" s="624" t="s">
        <v>411</v>
      </c>
      <c r="C237" s="588"/>
      <c r="D237" s="589"/>
      <c r="E237" s="589"/>
      <c r="F237" s="589"/>
      <c r="G237" s="589"/>
      <c r="H237" s="590"/>
      <c r="I237" s="590"/>
      <c r="J237" s="590"/>
      <c r="K237" s="590"/>
      <c r="L237" s="591"/>
      <c r="M237" s="591"/>
      <c r="N237" s="591"/>
      <c r="O237" s="591"/>
      <c r="P237" s="591"/>
      <c r="Q237" s="591"/>
      <c r="R237" s="591"/>
      <c r="S237" s="591"/>
      <c r="T237" s="590"/>
      <c r="U237" s="590"/>
      <c r="V237" s="590"/>
      <c r="W237" s="590"/>
      <c r="X237" s="590"/>
      <c r="Y237" s="592"/>
      <c r="Z237" s="605"/>
      <c r="AA237" s="605"/>
      <c r="AB237" s="605"/>
      <c r="AC237" s="605"/>
      <c r="AD237" s="575"/>
      <c r="AE237" s="575"/>
      <c r="AF237" s="575"/>
      <c r="AG237" s="575"/>
      <c r="AH237" s="575"/>
    </row>
    <row r="238" spans="1:34" ht="15.75">
      <c r="A238" s="552"/>
      <c r="B238" s="625" t="s">
        <v>412</v>
      </c>
      <c r="C238" s="588"/>
      <c r="D238" s="589"/>
      <c r="E238" s="589"/>
      <c r="F238" s="589"/>
      <c r="G238" s="589"/>
      <c r="H238" s="590"/>
      <c r="I238" s="590"/>
      <c r="J238" s="590"/>
      <c r="K238" s="590"/>
      <c r="L238" s="591"/>
      <c r="M238" s="591"/>
      <c r="N238" s="591"/>
      <c r="O238" s="591"/>
      <c r="P238" s="591"/>
      <c r="Q238" s="591"/>
      <c r="R238" s="591"/>
      <c r="S238" s="591"/>
      <c r="T238" s="590"/>
      <c r="U238" s="590"/>
      <c r="V238" s="590"/>
      <c r="W238" s="590"/>
      <c r="X238" s="590"/>
      <c r="Y238" s="592"/>
      <c r="Z238" s="605"/>
      <c r="AA238" s="605"/>
      <c r="AB238" s="605"/>
      <c r="AC238" s="605"/>
      <c r="AD238" s="575"/>
      <c r="AE238" s="575"/>
      <c r="AF238" s="575"/>
      <c r="AG238" s="575"/>
      <c r="AH238" s="575"/>
    </row>
    <row r="239" spans="1:34" ht="15.75">
      <c r="A239" s="623">
        <v>2</v>
      </c>
      <c r="B239" s="624" t="s">
        <v>413</v>
      </c>
      <c r="C239" s="588"/>
      <c r="D239" s="589"/>
      <c r="E239" s="589"/>
      <c r="F239" s="589"/>
      <c r="G239" s="589"/>
      <c r="H239" s="590"/>
      <c r="I239" s="590"/>
      <c r="J239" s="590"/>
      <c r="K239" s="590"/>
      <c r="L239" s="591"/>
      <c r="M239" s="591"/>
      <c r="N239" s="591"/>
      <c r="O239" s="591"/>
      <c r="P239" s="591"/>
      <c r="Q239" s="591"/>
      <c r="R239" s="591"/>
      <c r="S239" s="591"/>
      <c r="T239" s="590"/>
      <c r="U239" s="590"/>
      <c r="V239" s="590"/>
      <c r="W239" s="590"/>
      <c r="X239" s="590"/>
      <c r="Y239" s="592"/>
      <c r="Z239" s="605"/>
      <c r="AA239" s="605"/>
      <c r="AB239" s="605"/>
      <c r="AC239" s="605"/>
      <c r="AD239" s="575"/>
      <c r="AE239" s="575"/>
      <c r="AF239" s="575"/>
      <c r="AG239" s="575"/>
      <c r="AH239" s="575"/>
    </row>
    <row r="240" spans="1:34" ht="15.75">
      <c r="A240" s="552"/>
      <c r="B240" s="625" t="s">
        <v>412</v>
      </c>
      <c r="C240" s="588"/>
      <c r="D240" s="589"/>
      <c r="E240" s="589"/>
      <c r="F240" s="589"/>
      <c r="G240" s="589"/>
      <c r="H240" s="590"/>
      <c r="I240" s="590"/>
      <c r="J240" s="590"/>
      <c r="K240" s="590"/>
      <c r="L240" s="591"/>
      <c r="M240" s="591"/>
      <c r="N240" s="591"/>
      <c r="O240" s="591"/>
      <c r="P240" s="591"/>
      <c r="Q240" s="591"/>
      <c r="R240" s="591"/>
      <c r="S240" s="591"/>
      <c r="T240" s="590"/>
      <c r="U240" s="590"/>
      <c r="V240" s="590"/>
      <c r="W240" s="590"/>
      <c r="X240" s="590"/>
      <c r="Y240" s="592"/>
      <c r="Z240" s="605"/>
      <c r="AA240" s="605"/>
      <c r="AB240" s="605"/>
      <c r="AC240" s="605"/>
      <c r="AD240" s="575"/>
      <c r="AE240" s="575"/>
      <c r="AF240" s="575"/>
      <c r="AG240" s="575"/>
      <c r="AH240" s="575"/>
    </row>
    <row r="241" spans="1:34" ht="15.75">
      <c r="A241" s="623">
        <v>3</v>
      </c>
      <c r="B241" s="624" t="s">
        <v>414</v>
      </c>
      <c r="C241" s="588"/>
      <c r="D241" s="589"/>
      <c r="E241" s="589"/>
      <c r="F241" s="589"/>
      <c r="G241" s="589"/>
      <c r="H241" s="590"/>
      <c r="I241" s="590"/>
      <c r="J241" s="590"/>
      <c r="K241" s="590"/>
      <c r="L241" s="591"/>
      <c r="M241" s="591"/>
      <c r="N241" s="591"/>
      <c r="O241" s="591"/>
      <c r="P241" s="591"/>
      <c r="Q241" s="591"/>
      <c r="R241" s="591"/>
      <c r="S241" s="591"/>
      <c r="T241" s="590"/>
      <c r="U241" s="590"/>
      <c r="V241" s="590"/>
      <c r="W241" s="590"/>
      <c r="X241" s="590"/>
      <c r="Y241" s="592"/>
      <c r="Z241" s="605"/>
      <c r="AA241" s="605"/>
      <c r="AB241" s="605"/>
      <c r="AC241" s="605"/>
      <c r="AD241" s="575"/>
      <c r="AE241" s="575"/>
      <c r="AF241" s="575"/>
      <c r="AG241" s="575"/>
      <c r="AH241" s="575"/>
    </row>
    <row r="242" spans="1:34" ht="15.75">
      <c r="A242" s="552"/>
      <c r="B242" s="625" t="s">
        <v>405</v>
      </c>
      <c r="C242" s="588"/>
      <c r="D242" s="589"/>
      <c r="E242" s="589"/>
      <c r="F242" s="589"/>
      <c r="G242" s="589"/>
      <c r="H242" s="590"/>
      <c r="I242" s="590"/>
      <c r="J242" s="590"/>
      <c r="K242" s="590"/>
      <c r="L242" s="591"/>
      <c r="M242" s="591"/>
      <c r="N242" s="591"/>
      <c r="O242" s="591"/>
      <c r="P242" s="591"/>
      <c r="Q242" s="591"/>
      <c r="R242" s="591"/>
      <c r="S242" s="591"/>
      <c r="T242" s="590"/>
      <c r="U242" s="590"/>
      <c r="V242" s="590"/>
      <c r="W242" s="590"/>
      <c r="X242" s="590"/>
      <c r="Y242" s="592"/>
      <c r="Z242" s="605"/>
      <c r="AA242" s="605"/>
      <c r="AB242" s="605"/>
      <c r="AC242" s="605"/>
      <c r="AD242" s="575"/>
      <c r="AE242" s="575"/>
      <c r="AF242" s="575"/>
      <c r="AG242" s="575"/>
      <c r="AH242" s="575"/>
    </row>
    <row r="243" spans="1:34" ht="67.5">
      <c r="A243" s="552" t="s">
        <v>415</v>
      </c>
      <c r="B243" s="561" t="s">
        <v>416</v>
      </c>
      <c r="C243" s="588"/>
      <c r="D243" s="589"/>
      <c r="E243" s="589"/>
      <c r="F243" s="589"/>
      <c r="G243" s="589"/>
      <c r="H243" s="590"/>
      <c r="I243" s="590"/>
      <c r="J243" s="590"/>
      <c r="K243" s="590"/>
      <c r="L243" s="591"/>
      <c r="M243" s="591"/>
      <c r="N243" s="591"/>
      <c r="O243" s="591"/>
      <c r="P243" s="591"/>
      <c r="Q243" s="591"/>
      <c r="R243" s="591"/>
      <c r="S243" s="591"/>
      <c r="T243" s="590"/>
      <c r="U243" s="590"/>
      <c r="V243" s="590"/>
      <c r="W243" s="590"/>
      <c r="X243" s="590"/>
      <c r="Y243" s="592"/>
      <c r="Z243" s="605"/>
      <c r="AA243" s="605"/>
      <c r="AB243" s="605"/>
      <c r="AC243" s="605"/>
      <c r="AD243" s="575"/>
      <c r="AE243" s="575"/>
      <c r="AF243" s="575"/>
      <c r="AG243" s="575"/>
      <c r="AH243" s="575"/>
    </row>
    <row r="244" spans="1:34" ht="15.75">
      <c r="A244" s="623"/>
      <c r="B244" s="624" t="s">
        <v>414</v>
      </c>
      <c r="C244" s="588"/>
      <c r="D244" s="589"/>
      <c r="E244" s="589"/>
      <c r="F244" s="589"/>
      <c r="G244" s="589"/>
      <c r="H244" s="590"/>
      <c r="I244" s="590"/>
      <c r="J244" s="590"/>
      <c r="K244" s="590"/>
      <c r="L244" s="591"/>
      <c r="M244" s="591"/>
      <c r="N244" s="591"/>
      <c r="O244" s="591"/>
      <c r="P244" s="591"/>
      <c r="Q244" s="591"/>
      <c r="R244" s="591"/>
      <c r="S244" s="591"/>
      <c r="T244" s="590"/>
      <c r="U244" s="590"/>
      <c r="V244" s="590"/>
      <c r="W244" s="590"/>
      <c r="X244" s="590"/>
      <c r="Y244" s="592"/>
      <c r="Z244" s="605"/>
      <c r="AA244" s="605"/>
      <c r="AB244" s="605"/>
      <c r="AC244" s="605"/>
      <c r="AD244" s="575"/>
      <c r="AE244" s="575"/>
      <c r="AF244" s="575"/>
      <c r="AG244" s="575"/>
      <c r="AH244" s="575"/>
    </row>
    <row r="245" spans="1:34" ht="15.75">
      <c r="A245" s="552"/>
      <c r="B245" s="625" t="s">
        <v>412</v>
      </c>
      <c r="C245" s="588"/>
      <c r="D245" s="589"/>
      <c r="E245" s="589"/>
      <c r="F245" s="589"/>
      <c r="G245" s="589"/>
      <c r="H245" s="590"/>
      <c r="I245" s="590"/>
      <c r="J245" s="590"/>
      <c r="K245" s="590"/>
      <c r="L245" s="591"/>
      <c r="M245" s="591"/>
      <c r="N245" s="591"/>
      <c r="O245" s="591"/>
      <c r="P245" s="591"/>
      <c r="Q245" s="591"/>
      <c r="R245" s="591"/>
      <c r="S245" s="591"/>
      <c r="T245" s="590"/>
      <c r="U245" s="590"/>
      <c r="V245" s="590"/>
      <c r="W245" s="590"/>
      <c r="X245" s="590"/>
      <c r="Y245" s="592"/>
      <c r="Z245" s="605"/>
      <c r="AA245" s="605"/>
      <c r="AB245" s="605"/>
      <c r="AC245" s="605"/>
      <c r="AD245" s="575"/>
      <c r="AE245" s="575"/>
      <c r="AF245" s="575"/>
      <c r="AG245" s="575"/>
      <c r="AH245" s="575"/>
    </row>
    <row r="246" spans="1:34" ht="27">
      <c r="A246" s="552" t="s">
        <v>39</v>
      </c>
      <c r="B246" s="561" t="s">
        <v>417</v>
      </c>
      <c r="C246" s="588"/>
      <c r="D246" s="589"/>
      <c r="E246" s="589"/>
      <c r="F246" s="589"/>
      <c r="G246" s="589"/>
      <c r="H246" s="590"/>
      <c r="I246" s="590"/>
      <c r="J246" s="590"/>
      <c r="K246" s="590"/>
      <c r="L246" s="591"/>
      <c r="M246" s="591"/>
      <c r="N246" s="591"/>
      <c r="O246" s="591"/>
      <c r="P246" s="591"/>
      <c r="Q246" s="591"/>
      <c r="R246" s="591"/>
      <c r="S246" s="591"/>
      <c r="T246" s="590"/>
      <c r="U246" s="590"/>
      <c r="V246" s="590"/>
      <c r="W246" s="590"/>
      <c r="X246" s="590"/>
      <c r="Y246" s="592"/>
      <c r="Z246" s="605"/>
      <c r="AA246" s="605"/>
      <c r="AB246" s="605"/>
      <c r="AC246" s="605"/>
      <c r="AD246" s="575"/>
      <c r="AE246" s="575"/>
      <c r="AF246" s="575"/>
      <c r="AG246" s="575"/>
      <c r="AH246" s="575"/>
    </row>
    <row r="247" spans="1:34" ht="15.75">
      <c r="A247" s="552">
        <v>1</v>
      </c>
      <c r="B247" s="625" t="s">
        <v>412</v>
      </c>
      <c r="C247" s="588"/>
      <c r="D247" s="589"/>
      <c r="E247" s="589"/>
      <c r="F247" s="589"/>
      <c r="G247" s="589"/>
      <c r="H247" s="590"/>
      <c r="I247" s="590"/>
      <c r="J247" s="590"/>
      <c r="K247" s="590"/>
      <c r="L247" s="591"/>
      <c r="M247" s="591"/>
      <c r="N247" s="591"/>
      <c r="O247" s="591"/>
      <c r="P247" s="591"/>
      <c r="Q247" s="591"/>
      <c r="R247" s="591"/>
      <c r="S247" s="591"/>
      <c r="T247" s="590"/>
      <c r="U247" s="590"/>
      <c r="V247" s="590"/>
      <c r="W247" s="590"/>
      <c r="X247" s="590"/>
      <c r="Y247" s="592"/>
      <c r="Z247" s="605"/>
      <c r="AA247" s="605"/>
      <c r="AB247" s="605"/>
      <c r="AC247" s="605"/>
      <c r="AD247" s="575"/>
      <c r="AE247" s="575"/>
      <c r="AF247" s="575"/>
      <c r="AG247" s="575"/>
      <c r="AH247" s="575"/>
    </row>
    <row r="248" spans="1:34" ht="15.75">
      <c r="A248" s="552">
        <v>2</v>
      </c>
      <c r="B248" s="625" t="s">
        <v>412</v>
      </c>
      <c r="C248" s="588"/>
      <c r="D248" s="589"/>
      <c r="E248" s="589"/>
      <c r="F248" s="589"/>
      <c r="G248" s="589"/>
      <c r="H248" s="590"/>
      <c r="I248" s="590"/>
      <c r="J248" s="590"/>
      <c r="K248" s="590"/>
      <c r="L248" s="591"/>
      <c r="M248" s="591"/>
      <c r="N248" s="591"/>
      <c r="O248" s="591"/>
      <c r="P248" s="591"/>
      <c r="Q248" s="591"/>
      <c r="R248" s="591"/>
      <c r="S248" s="591"/>
      <c r="T248" s="590"/>
      <c r="U248" s="590"/>
      <c r="V248" s="590"/>
      <c r="W248" s="590"/>
      <c r="X248" s="590"/>
      <c r="Y248" s="592"/>
      <c r="Z248" s="605"/>
      <c r="AA248" s="605"/>
      <c r="AB248" s="605"/>
      <c r="AC248" s="605"/>
      <c r="AD248" s="575"/>
      <c r="AE248" s="575"/>
      <c r="AF248" s="575"/>
      <c r="AG248" s="575"/>
      <c r="AH248" s="575"/>
    </row>
    <row r="249" spans="1:34" ht="40.5">
      <c r="A249" s="552" t="s">
        <v>196</v>
      </c>
      <c r="B249" s="561" t="s">
        <v>418</v>
      </c>
      <c r="C249" s="588"/>
      <c r="D249" s="589"/>
      <c r="E249" s="589"/>
      <c r="F249" s="589"/>
      <c r="G249" s="589"/>
      <c r="H249" s="590"/>
      <c r="I249" s="590"/>
      <c r="J249" s="590"/>
      <c r="K249" s="590"/>
      <c r="L249" s="591"/>
      <c r="M249" s="591"/>
      <c r="N249" s="591"/>
      <c r="O249" s="591"/>
      <c r="P249" s="591"/>
      <c r="Q249" s="591"/>
      <c r="R249" s="591"/>
      <c r="S249" s="591"/>
      <c r="T249" s="590"/>
      <c r="U249" s="590"/>
      <c r="V249" s="590"/>
      <c r="W249" s="590"/>
      <c r="X249" s="590"/>
      <c r="Y249" s="592"/>
      <c r="Z249" s="605"/>
      <c r="AA249" s="605"/>
      <c r="AB249" s="605"/>
      <c r="AC249" s="605"/>
      <c r="AD249" s="575"/>
      <c r="AE249" s="575"/>
      <c r="AF249" s="575"/>
      <c r="AG249" s="575"/>
      <c r="AH249" s="575"/>
    </row>
    <row r="250" spans="1:34" ht="15.75">
      <c r="A250" s="552">
        <v>1</v>
      </c>
      <c r="B250" s="561" t="s">
        <v>419</v>
      </c>
      <c r="C250" s="588"/>
      <c r="D250" s="589"/>
      <c r="E250" s="589"/>
      <c r="F250" s="589"/>
      <c r="G250" s="589"/>
      <c r="H250" s="590"/>
      <c r="I250" s="590"/>
      <c r="J250" s="590"/>
      <c r="K250" s="590"/>
      <c r="L250" s="591"/>
      <c r="M250" s="591"/>
      <c r="N250" s="591"/>
      <c r="O250" s="591"/>
      <c r="P250" s="591"/>
      <c r="Q250" s="591"/>
      <c r="R250" s="591"/>
      <c r="S250" s="591"/>
      <c r="T250" s="590"/>
      <c r="U250" s="590"/>
      <c r="V250" s="590"/>
      <c r="W250" s="590"/>
      <c r="X250" s="590"/>
      <c r="Y250" s="592"/>
      <c r="Z250" s="605"/>
      <c r="AA250" s="605"/>
      <c r="AB250" s="605"/>
      <c r="AC250" s="605"/>
      <c r="AD250" s="575"/>
      <c r="AE250" s="575"/>
      <c r="AF250" s="575"/>
      <c r="AG250" s="575"/>
      <c r="AH250" s="575"/>
    </row>
    <row r="251" spans="1:34" ht="15.75">
      <c r="A251" s="552"/>
      <c r="B251" s="625" t="s">
        <v>412</v>
      </c>
      <c r="C251" s="588"/>
      <c r="D251" s="589"/>
      <c r="E251" s="589"/>
      <c r="F251" s="589"/>
      <c r="G251" s="589"/>
      <c r="H251" s="590"/>
      <c r="I251" s="590"/>
      <c r="J251" s="590"/>
      <c r="K251" s="590"/>
      <c r="L251" s="591"/>
      <c r="M251" s="591"/>
      <c r="N251" s="591"/>
      <c r="O251" s="591"/>
      <c r="P251" s="591"/>
      <c r="Q251" s="591"/>
      <c r="R251" s="591"/>
      <c r="S251" s="591"/>
      <c r="T251" s="590"/>
      <c r="U251" s="590"/>
      <c r="V251" s="590"/>
      <c r="W251" s="590"/>
      <c r="X251" s="590"/>
      <c r="Y251" s="592"/>
      <c r="Z251" s="605"/>
      <c r="AA251" s="605"/>
      <c r="AB251" s="605"/>
      <c r="AC251" s="605"/>
      <c r="AD251" s="575"/>
      <c r="AE251" s="575"/>
      <c r="AF251" s="575"/>
      <c r="AG251" s="575"/>
      <c r="AH251" s="575"/>
    </row>
    <row r="252" spans="1:34" ht="15.75">
      <c r="A252" s="552" t="s">
        <v>25</v>
      </c>
      <c r="B252" s="561" t="s">
        <v>419</v>
      </c>
      <c r="C252" s="588"/>
      <c r="D252" s="589"/>
      <c r="E252" s="589"/>
      <c r="F252" s="589"/>
      <c r="G252" s="589"/>
      <c r="H252" s="590"/>
      <c r="I252" s="590"/>
      <c r="J252" s="590"/>
      <c r="K252" s="590"/>
      <c r="L252" s="591"/>
      <c r="M252" s="591"/>
      <c r="N252" s="591"/>
      <c r="O252" s="591"/>
      <c r="P252" s="591"/>
      <c r="Q252" s="591"/>
      <c r="R252" s="591"/>
      <c r="S252" s="591"/>
      <c r="T252" s="590"/>
      <c r="U252" s="590"/>
      <c r="V252" s="590"/>
      <c r="W252" s="590"/>
      <c r="X252" s="590"/>
      <c r="Y252" s="592"/>
      <c r="Z252" s="605"/>
      <c r="AA252" s="605"/>
      <c r="AB252" s="605"/>
      <c r="AC252" s="605"/>
      <c r="AD252" s="575"/>
      <c r="AE252" s="575"/>
      <c r="AF252" s="575"/>
      <c r="AG252" s="575"/>
      <c r="AH252" s="575"/>
    </row>
    <row r="253" spans="1:34" ht="15.75">
      <c r="A253" s="552"/>
      <c r="B253" s="625" t="s">
        <v>412</v>
      </c>
      <c r="C253" s="588"/>
      <c r="D253" s="589"/>
      <c r="E253" s="589"/>
      <c r="F253" s="589"/>
      <c r="G253" s="589"/>
      <c r="H253" s="590"/>
      <c r="I253" s="590"/>
      <c r="J253" s="590"/>
      <c r="K253" s="590"/>
      <c r="L253" s="591"/>
      <c r="M253" s="591"/>
      <c r="N253" s="591"/>
      <c r="O253" s="591"/>
      <c r="P253" s="591"/>
      <c r="Q253" s="591"/>
      <c r="R253" s="591"/>
      <c r="S253" s="591"/>
      <c r="T253" s="590"/>
      <c r="U253" s="590"/>
      <c r="V253" s="590"/>
      <c r="W253" s="590"/>
      <c r="X253" s="590"/>
      <c r="Y253" s="592"/>
      <c r="Z253" s="605"/>
      <c r="AA253" s="605"/>
      <c r="AB253" s="605"/>
      <c r="AC253" s="605"/>
      <c r="AD253" s="575"/>
      <c r="AE253" s="575"/>
      <c r="AF253" s="575"/>
      <c r="AG253" s="575"/>
      <c r="AH253" s="575"/>
    </row>
    <row r="254" spans="1:34" ht="15.75" hidden="1">
      <c r="A254" s="552"/>
      <c r="B254" s="625"/>
      <c r="C254" s="588"/>
      <c r="D254" s="589"/>
      <c r="E254" s="589"/>
      <c r="F254" s="589"/>
      <c r="G254" s="589"/>
      <c r="H254" s="590"/>
      <c r="I254" s="590"/>
      <c r="J254" s="590"/>
      <c r="K254" s="590"/>
      <c r="L254" s="591"/>
      <c r="M254" s="591"/>
      <c r="N254" s="591"/>
      <c r="O254" s="591"/>
      <c r="P254" s="591"/>
      <c r="Q254" s="591"/>
      <c r="R254" s="591"/>
      <c r="S254" s="591"/>
      <c r="T254" s="590"/>
      <c r="U254" s="590"/>
      <c r="V254" s="590"/>
      <c r="W254" s="590"/>
      <c r="X254" s="590"/>
      <c r="Y254" s="592"/>
      <c r="Z254" s="605"/>
      <c r="AA254" s="605"/>
      <c r="AB254" s="605"/>
      <c r="AC254" s="605"/>
      <c r="AD254" s="575"/>
      <c r="AE254" s="575"/>
      <c r="AF254" s="575"/>
      <c r="AG254" s="575"/>
      <c r="AH254" s="575"/>
    </row>
    <row r="255" spans="1:33" ht="15.75">
      <c r="A255" s="648"/>
      <c r="B255" s="560"/>
      <c r="C255" s="649"/>
      <c r="D255" s="510"/>
      <c r="E255" s="510"/>
      <c r="F255" s="510"/>
      <c r="G255" s="510"/>
      <c r="H255" s="560"/>
      <c r="I255" s="560"/>
      <c r="J255" s="560"/>
      <c r="K255" s="560"/>
      <c r="L255" s="650"/>
      <c r="M255" s="650"/>
      <c r="N255" s="650"/>
      <c r="O255" s="650"/>
      <c r="P255" s="650"/>
      <c r="Q255" s="650"/>
      <c r="R255" s="650"/>
      <c r="S255" s="650"/>
      <c r="T255" s="651"/>
      <c r="U255" s="651"/>
      <c r="V255" s="651"/>
      <c r="W255" s="651"/>
      <c r="X255" s="651"/>
      <c r="Y255" s="652"/>
      <c r="Z255" s="636"/>
      <c r="AA255" s="636"/>
      <c r="AB255" s="636"/>
      <c r="AC255" s="636"/>
      <c r="AD255" s="560"/>
      <c r="AE255" s="560"/>
      <c r="AF255" s="560"/>
      <c r="AG255" s="560"/>
    </row>
    <row r="256" spans="1:33" ht="15.75">
      <c r="A256" s="648"/>
      <c r="B256" s="560"/>
      <c r="C256" s="649"/>
      <c r="D256" s="510"/>
      <c r="E256" s="510"/>
      <c r="F256" s="510"/>
      <c r="G256" s="510"/>
      <c r="H256" s="560"/>
      <c r="I256" s="560"/>
      <c r="J256" s="560"/>
      <c r="K256" s="560"/>
      <c r="L256" s="650"/>
      <c r="M256" s="650"/>
      <c r="N256" s="650"/>
      <c r="O256" s="650"/>
      <c r="P256" s="650"/>
      <c r="Q256" s="650"/>
      <c r="R256" s="650"/>
      <c r="S256" s="650"/>
      <c r="T256" s="651"/>
      <c r="U256" s="651"/>
      <c r="V256" s="651"/>
      <c r="W256" s="651"/>
      <c r="X256" s="651"/>
      <c r="Y256" s="652"/>
      <c r="Z256" s="636"/>
      <c r="AA256" s="636"/>
      <c r="AB256" s="636"/>
      <c r="AC256" s="636"/>
      <c r="AD256" s="560"/>
      <c r="AE256" s="560"/>
      <c r="AF256" s="560"/>
      <c r="AG256" s="560"/>
    </row>
    <row r="257" spans="1:33" ht="15.75">
      <c r="A257" s="648"/>
      <c r="B257" s="560"/>
      <c r="C257" s="649"/>
      <c r="D257" s="510"/>
      <c r="E257" s="510"/>
      <c r="F257" s="510"/>
      <c r="G257" s="510"/>
      <c r="H257" s="560"/>
      <c r="I257" s="560"/>
      <c r="J257" s="560"/>
      <c r="K257" s="560"/>
      <c r="L257" s="650"/>
      <c r="M257" s="650"/>
      <c r="N257" s="650"/>
      <c r="O257" s="650"/>
      <c r="P257" s="650"/>
      <c r="Q257" s="650"/>
      <c r="R257" s="650"/>
      <c r="S257" s="650"/>
      <c r="T257" s="651"/>
      <c r="U257" s="651"/>
      <c r="V257" s="651"/>
      <c r="W257" s="651"/>
      <c r="X257" s="651"/>
      <c r="Y257" s="652"/>
      <c r="Z257" s="636"/>
      <c r="AA257" s="636"/>
      <c r="AB257" s="636"/>
      <c r="AC257" s="636"/>
      <c r="AD257" s="560"/>
      <c r="AE257" s="560"/>
      <c r="AF257" s="560"/>
      <c r="AG257" s="560"/>
    </row>
    <row r="258" spans="1:33" ht="15.75">
      <c r="A258" s="648"/>
      <c r="B258" s="560"/>
      <c r="C258" s="649"/>
      <c r="D258" s="510"/>
      <c r="E258" s="510"/>
      <c r="F258" s="510"/>
      <c r="G258" s="510"/>
      <c r="H258" s="560"/>
      <c r="I258" s="560"/>
      <c r="J258" s="560"/>
      <c r="K258" s="560"/>
      <c r="L258" s="650"/>
      <c r="M258" s="650"/>
      <c r="N258" s="650"/>
      <c r="O258" s="650"/>
      <c r="P258" s="650"/>
      <c r="Q258" s="650"/>
      <c r="R258" s="650"/>
      <c r="S258" s="650"/>
      <c r="T258" s="651"/>
      <c r="U258" s="651"/>
      <c r="V258" s="651"/>
      <c r="W258" s="651"/>
      <c r="X258" s="651"/>
      <c r="Y258" s="652"/>
      <c r="Z258" s="636"/>
      <c r="AA258" s="636"/>
      <c r="AB258" s="636"/>
      <c r="AC258" s="636"/>
      <c r="AD258" s="560"/>
      <c r="AE258" s="560"/>
      <c r="AF258" s="560"/>
      <c r="AG258" s="560"/>
    </row>
    <row r="259" spans="1:33" ht="15.75">
      <c r="A259" s="648"/>
      <c r="B259" s="560"/>
      <c r="C259" s="649"/>
      <c r="D259" s="510"/>
      <c r="E259" s="510"/>
      <c r="F259" s="510"/>
      <c r="G259" s="510"/>
      <c r="H259" s="560"/>
      <c r="I259" s="560"/>
      <c r="J259" s="560"/>
      <c r="K259" s="560"/>
      <c r="L259" s="650"/>
      <c r="M259" s="650"/>
      <c r="N259" s="650"/>
      <c r="O259" s="650"/>
      <c r="P259" s="650"/>
      <c r="Q259" s="650"/>
      <c r="R259" s="650"/>
      <c r="S259" s="650"/>
      <c r="T259" s="651"/>
      <c r="U259" s="651"/>
      <c r="V259" s="651"/>
      <c r="W259" s="651"/>
      <c r="X259" s="651"/>
      <c r="Y259" s="652"/>
      <c r="Z259" s="636"/>
      <c r="AA259" s="636"/>
      <c r="AB259" s="636"/>
      <c r="AC259" s="636"/>
      <c r="AD259" s="560"/>
      <c r="AE259" s="560"/>
      <c r="AF259" s="560"/>
      <c r="AG259" s="560"/>
    </row>
    <row r="260" spans="1:33" ht="15.75">
      <c r="A260" s="648"/>
      <c r="B260" s="560"/>
      <c r="C260" s="649"/>
      <c r="D260" s="510"/>
      <c r="E260" s="510"/>
      <c r="F260" s="510"/>
      <c r="G260" s="510"/>
      <c r="H260" s="560"/>
      <c r="I260" s="560"/>
      <c r="J260" s="560"/>
      <c r="K260" s="560"/>
      <c r="L260" s="650"/>
      <c r="M260" s="650"/>
      <c r="N260" s="650"/>
      <c r="O260" s="650"/>
      <c r="P260" s="650"/>
      <c r="Q260" s="650"/>
      <c r="R260" s="650"/>
      <c r="S260" s="650"/>
      <c r="T260" s="651"/>
      <c r="U260" s="651"/>
      <c r="V260" s="651"/>
      <c r="W260" s="651"/>
      <c r="X260" s="651"/>
      <c r="Y260" s="652"/>
      <c r="Z260" s="636"/>
      <c r="AA260" s="636"/>
      <c r="AB260" s="636"/>
      <c r="AC260" s="636"/>
      <c r="AD260" s="560"/>
      <c r="AE260" s="560"/>
      <c r="AF260" s="560"/>
      <c r="AG260" s="560"/>
    </row>
    <row r="261" spans="1:33" ht="15.75">
      <c r="A261" s="648"/>
      <c r="B261" s="560"/>
      <c r="C261" s="649"/>
      <c r="D261" s="510"/>
      <c r="E261" s="510"/>
      <c r="F261" s="510"/>
      <c r="G261" s="510"/>
      <c r="H261" s="560"/>
      <c r="I261" s="560"/>
      <c r="J261" s="560"/>
      <c r="K261" s="560"/>
      <c r="L261" s="650"/>
      <c r="M261" s="650"/>
      <c r="N261" s="650"/>
      <c r="O261" s="650"/>
      <c r="P261" s="650"/>
      <c r="Q261" s="650"/>
      <c r="R261" s="650"/>
      <c r="S261" s="650"/>
      <c r="T261" s="651"/>
      <c r="U261" s="651"/>
      <c r="V261" s="651"/>
      <c r="W261" s="651"/>
      <c r="X261" s="651"/>
      <c r="Y261" s="652"/>
      <c r="Z261" s="636"/>
      <c r="AA261" s="636"/>
      <c r="AB261" s="636"/>
      <c r="AC261" s="636"/>
      <c r="AD261" s="560"/>
      <c r="AE261" s="560"/>
      <c r="AF261" s="560"/>
      <c r="AG261" s="560"/>
    </row>
    <row r="262" spans="1:33" ht="15.75">
      <c r="A262" s="648"/>
      <c r="B262" s="560"/>
      <c r="C262" s="649"/>
      <c r="D262" s="510"/>
      <c r="E262" s="510"/>
      <c r="F262" s="510"/>
      <c r="G262" s="510"/>
      <c r="H262" s="560"/>
      <c r="I262" s="560"/>
      <c r="J262" s="560"/>
      <c r="K262" s="560"/>
      <c r="L262" s="650"/>
      <c r="M262" s="650"/>
      <c r="N262" s="650"/>
      <c r="O262" s="650"/>
      <c r="P262" s="650"/>
      <c r="Q262" s="650"/>
      <c r="R262" s="650"/>
      <c r="S262" s="650"/>
      <c r="T262" s="651"/>
      <c r="U262" s="651"/>
      <c r="V262" s="651"/>
      <c r="W262" s="651"/>
      <c r="X262" s="651"/>
      <c r="Y262" s="652"/>
      <c r="Z262" s="636"/>
      <c r="AA262" s="636"/>
      <c r="AB262" s="636"/>
      <c r="AC262" s="636"/>
      <c r="AD262" s="560"/>
      <c r="AE262" s="560"/>
      <c r="AF262" s="560"/>
      <c r="AG262" s="560"/>
    </row>
    <row r="263" spans="1:33" ht="15.75">
      <c r="A263" s="648"/>
      <c r="B263" s="560"/>
      <c r="C263" s="649"/>
      <c r="D263" s="510"/>
      <c r="E263" s="510"/>
      <c r="F263" s="510"/>
      <c r="G263" s="510"/>
      <c r="H263" s="560"/>
      <c r="I263" s="560"/>
      <c r="J263" s="560"/>
      <c r="K263" s="560"/>
      <c r="L263" s="650"/>
      <c r="M263" s="650"/>
      <c r="N263" s="650"/>
      <c r="O263" s="650"/>
      <c r="P263" s="650"/>
      <c r="Q263" s="650"/>
      <c r="R263" s="650"/>
      <c r="S263" s="650"/>
      <c r="T263" s="651"/>
      <c r="U263" s="651"/>
      <c r="V263" s="651"/>
      <c r="W263" s="651"/>
      <c r="X263" s="651"/>
      <c r="Y263" s="652"/>
      <c r="Z263" s="636"/>
      <c r="AA263" s="636"/>
      <c r="AB263" s="636"/>
      <c r="AC263" s="636"/>
      <c r="AD263" s="560"/>
      <c r="AE263" s="560"/>
      <c r="AF263" s="560"/>
      <c r="AG263" s="560"/>
    </row>
    <row r="264" spans="1:33" ht="15.75">
      <c r="A264" s="648"/>
      <c r="B264" s="560"/>
      <c r="C264" s="649"/>
      <c r="D264" s="510"/>
      <c r="E264" s="510"/>
      <c r="F264" s="510"/>
      <c r="G264" s="510"/>
      <c r="H264" s="560"/>
      <c r="I264" s="560"/>
      <c r="J264" s="560"/>
      <c r="K264" s="560"/>
      <c r="L264" s="650"/>
      <c r="M264" s="650"/>
      <c r="N264" s="650"/>
      <c r="O264" s="650"/>
      <c r="P264" s="650"/>
      <c r="Q264" s="650"/>
      <c r="R264" s="650"/>
      <c r="S264" s="650"/>
      <c r="T264" s="651"/>
      <c r="U264" s="651"/>
      <c r="V264" s="651"/>
      <c r="W264" s="651"/>
      <c r="X264" s="651"/>
      <c r="Y264" s="652"/>
      <c r="Z264" s="636"/>
      <c r="AA264" s="636"/>
      <c r="AB264" s="636"/>
      <c r="AC264" s="636"/>
      <c r="AD264" s="560"/>
      <c r="AE264" s="560"/>
      <c r="AF264" s="560"/>
      <c r="AG264" s="560"/>
    </row>
    <row r="265" spans="1:33" ht="15.75">
      <c r="A265" s="648"/>
      <c r="B265" s="560"/>
      <c r="C265" s="649"/>
      <c r="D265" s="510"/>
      <c r="E265" s="510"/>
      <c r="F265" s="510"/>
      <c r="G265" s="510"/>
      <c r="H265" s="560"/>
      <c r="I265" s="560"/>
      <c r="J265" s="560"/>
      <c r="K265" s="560"/>
      <c r="L265" s="650"/>
      <c r="M265" s="650"/>
      <c r="N265" s="650"/>
      <c r="O265" s="650"/>
      <c r="P265" s="650"/>
      <c r="Q265" s="650"/>
      <c r="R265" s="650"/>
      <c r="S265" s="650"/>
      <c r="T265" s="651"/>
      <c r="U265" s="651"/>
      <c r="V265" s="651"/>
      <c r="W265" s="651"/>
      <c r="X265" s="651"/>
      <c r="Y265" s="652"/>
      <c r="Z265" s="636"/>
      <c r="AA265" s="636"/>
      <c r="AB265" s="636"/>
      <c r="AC265" s="636"/>
      <c r="AD265" s="560"/>
      <c r="AE265" s="560"/>
      <c r="AF265" s="560"/>
      <c r="AG265" s="560"/>
    </row>
    <row r="266" spans="1:33" ht="15.75">
      <c r="A266" s="648"/>
      <c r="B266" s="560"/>
      <c r="C266" s="649"/>
      <c r="D266" s="510"/>
      <c r="E266" s="510"/>
      <c r="F266" s="510"/>
      <c r="G266" s="510"/>
      <c r="H266" s="560"/>
      <c r="I266" s="560"/>
      <c r="J266" s="560"/>
      <c r="K266" s="560"/>
      <c r="L266" s="650"/>
      <c r="M266" s="650"/>
      <c r="N266" s="650"/>
      <c r="O266" s="650"/>
      <c r="P266" s="650"/>
      <c r="Q266" s="650"/>
      <c r="R266" s="650"/>
      <c r="S266" s="650"/>
      <c r="T266" s="651"/>
      <c r="U266" s="651"/>
      <c r="V266" s="651"/>
      <c r="W266" s="651"/>
      <c r="X266" s="651"/>
      <c r="Y266" s="652"/>
      <c r="Z266" s="636"/>
      <c r="AA266" s="636"/>
      <c r="AB266" s="636"/>
      <c r="AC266" s="636"/>
      <c r="AD266" s="560"/>
      <c r="AE266" s="560"/>
      <c r="AF266" s="560"/>
      <c r="AG266" s="560"/>
    </row>
    <row r="267" spans="1:33" ht="15.75">
      <c r="A267" s="648"/>
      <c r="B267" s="560"/>
      <c r="C267" s="649"/>
      <c r="D267" s="510"/>
      <c r="E267" s="510"/>
      <c r="F267" s="510"/>
      <c r="G267" s="510"/>
      <c r="H267" s="560"/>
      <c r="I267" s="560"/>
      <c r="J267" s="560"/>
      <c r="K267" s="560"/>
      <c r="L267" s="650"/>
      <c r="M267" s="650"/>
      <c r="N267" s="650"/>
      <c r="O267" s="650"/>
      <c r="P267" s="650"/>
      <c r="Q267" s="650"/>
      <c r="R267" s="650"/>
      <c r="S267" s="650"/>
      <c r="T267" s="651"/>
      <c r="U267" s="651"/>
      <c r="V267" s="651"/>
      <c r="W267" s="651"/>
      <c r="X267" s="651"/>
      <c r="Y267" s="652"/>
      <c r="Z267" s="636"/>
      <c r="AA267" s="636"/>
      <c r="AB267" s="636"/>
      <c r="AC267" s="636"/>
      <c r="AD267" s="560"/>
      <c r="AE267" s="560"/>
      <c r="AF267" s="560"/>
      <c r="AG267" s="560"/>
    </row>
    <row r="268" spans="1:33" ht="15.75">
      <c r="A268" s="648"/>
      <c r="B268" s="560"/>
      <c r="C268" s="649"/>
      <c r="D268" s="510"/>
      <c r="E268" s="510"/>
      <c r="F268" s="510"/>
      <c r="G268" s="510"/>
      <c r="H268" s="560"/>
      <c r="I268" s="560"/>
      <c r="J268" s="560"/>
      <c r="K268" s="560"/>
      <c r="L268" s="650"/>
      <c r="M268" s="650"/>
      <c r="N268" s="650"/>
      <c r="O268" s="650"/>
      <c r="P268" s="650"/>
      <c r="Q268" s="650"/>
      <c r="R268" s="650"/>
      <c r="S268" s="650"/>
      <c r="T268" s="651"/>
      <c r="U268" s="651"/>
      <c r="V268" s="651"/>
      <c r="W268" s="651"/>
      <c r="X268" s="651"/>
      <c r="Y268" s="652"/>
      <c r="Z268" s="636"/>
      <c r="AA268" s="636"/>
      <c r="AB268" s="636"/>
      <c r="AC268" s="636"/>
      <c r="AD268" s="560"/>
      <c r="AE268" s="560"/>
      <c r="AF268" s="560"/>
      <c r="AG268" s="560"/>
    </row>
    <row r="269" spans="1:33" ht="15.75">
      <c r="A269" s="648"/>
      <c r="B269" s="560"/>
      <c r="C269" s="649"/>
      <c r="D269" s="510"/>
      <c r="E269" s="510"/>
      <c r="F269" s="510"/>
      <c r="G269" s="510"/>
      <c r="H269" s="560"/>
      <c r="I269" s="560"/>
      <c r="J269" s="560"/>
      <c r="K269" s="560"/>
      <c r="L269" s="650"/>
      <c r="M269" s="650"/>
      <c r="N269" s="650"/>
      <c r="O269" s="650"/>
      <c r="P269" s="650"/>
      <c r="Q269" s="650"/>
      <c r="R269" s="650"/>
      <c r="S269" s="650"/>
      <c r="T269" s="651"/>
      <c r="U269" s="651"/>
      <c r="V269" s="651"/>
      <c r="W269" s="651"/>
      <c r="X269" s="651"/>
      <c r="Y269" s="652"/>
      <c r="Z269" s="636"/>
      <c r="AA269" s="636"/>
      <c r="AB269" s="636"/>
      <c r="AC269" s="636"/>
      <c r="AD269" s="560"/>
      <c r="AE269" s="560"/>
      <c r="AF269" s="560"/>
      <c r="AG269" s="560"/>
    </row>
    <row r="270" spans="1:33" ht="15.75">
      <c r="A270" s="648"/>
      <c r="B270" s="560"/>
      <c r="C270" s="649"/>
      <c r="D270" s="510"/>
      <c r="E270" s="510"/>
      <c r="F270" s="510"/>
      <c r="G270" s="510"/>
      <c r="H270" s="560"/>
      <c r="I270" s="560"/>
      <c r="J270" s="560"/>
      <c r="K270" s="560"/>
      <c r="L270" s="650"/>
      <c r="M270" s="650"/>
      <c r="N270" s="650"/>
      <c r="O270" s="650"/>
      <c r="P270" s="650"/>
      <c r="Q270" s="650"/>
      <c r="R270" s="650"/>
      <c r="S270" s="650"/>
      <c r="T270" s="651"/>
      <c r="U270" s="651"/>
      <c r="V270" s="651"/>
      <c r="W270" s="651"/>
      <c r="X270" s="651"/>
      <c r="Y270" s="652"/>
      <c r="Z270" s="636"/>
      <c r="AA270" s="636"/>
      <c r="AB270" s="636"/>
      <c r="AC270" s="636"/>
      <c r="AD270" s="560"/>
      <c r="AE270" s="560"/>
      <c r="AF270" s="560"/>
      <c r="AG270" s="560"/>
    </row>
    <row r="271" spans="1:33" ht="15.75">
      <c r="A271" s="648"/>
      <c r="B271" s="560"/>
      <c r="C271" s="649"/>
      <c r="D271" s="510"/>
      <c r="E271" s="510"/>
      <c r="F271" s="510"/>
      <c r="G271" s="510"/>
      <c r="H271" s="560"/>
      <c r="I271" s="560"/>
      <c r="J271" s="560"/>
      <c r="K271" s="560"/>
      <c r="L271" s="650"/>
      <c r="M271" s="650"/>
      <c r="N271" s="650"/>
      <c r="O271" s="650"/>
      <c r="P271" s="650"/>
      <c r="Q271" s="650"/>
      <c r="R271" s="650"/>
      <c r="S271" s="650"/>
      <c r="T271" s="651"/>
      <c r="U271" s="651"/>
      <c r="V271" s="651"/>
      <c r="W271" s="651"/>
      <c r="X271" s="651"/>
      <c r="Y271" s="652"/>
      <c r="Z271" s="636"/>
      <c r="AA271" s="636"/>
      <c r="AB271" s="636"/>
      <c r="AC271" s="636"/>
      <c r="AD271" s="560"/>
      <c r="AE271" s="560"/>
      <c r="AF271" s="560"/>
      <c r="AG271" s="560"/>
    </row>
    <row r="272" spans="1:33" ht="15.75">
      <c r="A272" s="648"/>
      <c r="B272" s="560"/>
      <c r="C272" s="649"/>
      <c r="D272" s="510"/>
      <c r="E272" s="510"/>
      <c r="F272" s="510"/>
      <c r="G272" s="510"/>
      <c r="H272" s="560"/>
      <c r="I272" s="560"/>
      <c r="J272" s="560"/>
      <c r="K272" s="560"/>
      <c r="L272" s="650"/>
      <c r="M272" s="650"/>
      <c r="N272" s="650"/>
      <c r="O272" s="650"/>
      <c r="P272" s="650"/>
      <c r="Q272" s="650"/>
      <c r="R272" s="650"/>
      <c r="S272" s="650"/>
      <c r="T272" s="651"/>
      <c r="U272" s="651"/>
      <c r="V272" s="651"/>
      <c r="W272" s="651"/>
      <c r="X272" s="651"/>
      <c r="Y272" s="652"/>
      <c r="Z272" s="636"/>
      <c r="AA272" s="636"/>
      <c r="AB272" s="636"/>
      <c r="AC272" s="636"/>
      <c r="AD272" s="560"/>
      <c r="AE272" s="560"/>
      <c r="AF272" s="560"/>
      <c r="AG272" s="560"/>
    </row>
    <row r="273" spans="1:33" ht="15.75">
      <c r="A273" s="648"/>
      <c r="B273" s="560"/>
      <c r="C273" s="649"/>
      <c r="D273" s="510"/>
      <c r="E273" s="510"/>
      <c r="F273" s="510"/>
      <c r="G273" s="510"/>
      <c r="H273" s="560"/>
      <c r="I273" s="560"/>
      <c r="J273" s="560"/>
      <c r="K273" s="560"/>
      <c r="L273" s="650"/>
      <c r="M273" s="650"/>
      <c r="N273" s="650"/>
      <c r="O273" s="650"/>
      <c r="P273" s="650"/>
      <c r="Q273" s="650"/>
      <c r="R273" s="650"/>
      <c r="S273" s="650"/>
      <c r="T273" s="651"/>
      <c r="U273" s="651"/>
      <c r="V273" s="651"/>
      <c r="W273" s="651"/>
      <c r="X273" s="651"/>
      <c r="Y273" s="652"/>
      <c r="Z273" s="636"/>
      <c r="AA273" s="636"/>
      <c r="AB273" s="636"/>
      <c r="AC273" s="636"/>
      <c r="AD273" s="560"/>
      <c r="AE273" s="560"/>
      <c r="AF273" s="560"/>
      <c r="AG273" s="560"/>
    </row>
    <row r="274" spans="1:33" ht="15.75">
      <c r="A274" s="648"/>
      <c r="B274" s="560"/>
      <c r="C274" s="649"/>
      <c r="D274" s="510"/>
      <c r="E274" s="510"/>
      <c r="F274" s="510"/>
      <c r="G274" s="510"/>
      <c r="H274" s="560"/>
      <c r="I274" s="560"/>
      <c r="J274" s="560"/>
      <c r="K274" s="560"/>
      <c r="L274" s="650"/>
      <c r="M274" s="650"/>
      <c r="N274" s="650"/>
      <c r="O274" s="650"/>
      <c r="P274" s="650"/>
      <c r="Q274" s="650"/>
      <c r="R274" s="650"/>
      <c r="S274" s="650"/>
      <c r="T274" s="651"/>
      <c r="U274" s="651"/>
      <c r="V274" s="651"/>
      <c r="W274" s="651"/>
      <c r="X274" s="651"/>
      <c r="Y274" s="652"/>
      <c r="Z274" s="636"/>
      <c r="AA274" s="636"/>
      <c r="AB274" s="636"/>
      <c r="AC274" s="636"/>
      <c r="AD274" s="560"/>
      <c r="AE274" s="560"/>
      <c r="AF274" s="560"/>
      <c r="AG274" s="560"/>
    </row>
    <row r="275" spans="1:33" ht="15.75">
      <c r="A275" s="648"/>
      <c r="B275" s="560"/>
      <c r="C275" s="649"/>
      <c r="D275" s="510"/>
      <c r="E275" s="510"/>
      <c r="F275" s="510"/>
      <c r="G275" s="510"/>
      <c r="H275" s="560"/>
      <c r="I275" s="560"/>
      <c r="J275" s="560"/>
      <c r="K275" s="560"/>
      <c r="L275" s="650"/>
      <c r="M275" s="650"/>
      <c r="N275" s="650"/>
      <c r="O275" s="650"/>
      <c r="P275" s="650"/>
      <c r="Q275" s="650"/>
      <c r="R275" s="650"/>
      <c r="S275" s="650"/>
      <c r="T275" s="651"/>
      <c r="U275" s="651"/>
      <c r="V275" s="651"/>
      <c r="W275" s="651"/>
      <c r="X275" s="651"/>
      <c r="Y275" s="652"/>
      <c r="Z275" s="636"/>
      <c r="AA275" s="636"/>
      <c r="AB275" s="636"/>
      <c r="AC275" s="636"/>
      <c r="AD275" s="560"/>
      <c r="AE275" s="560"/>
      <c r="AF275" s="560"/>
      <c r="AG275" s="560"/>
    </row>
    <row r="276" spans="1:33" ht="15.75">
      <c r="A276" s="648"/>
      <c r="B276" s="560"/>
      <c r="C276" s="649"/>
      <c r="D276" s="510"/>
      <c r="E276" s="510"/>
      <c r="F276" s="510"/>
      <c r="G276" s="510"/>
      <c r="H276" s="560"/>
      <c r="I276" s="560"/>
      <c r="J276" s="560"/>
      <c r="K276" s="560"/>
      <c r="L276" s="650"/>
      <c r="M276" s="650"/>
      <c r="N276" s="650"/>
      <c r="O276" s="650"/>
      <c r="P276" s="650"/>
      <c r="Q276" s="650"/>
      <c r="R276" s="650"/>
      <c r="S276" s="650"/>
      <c r="T276" s="651"/>
      <c r="U276" s="651"/>
      <c r="V276" s="651"/>
      <c r="W276" s="651"/>
      <c r="X276" s="651"/>
      <c r="Y276" s="652"/>
      <c r="Z276" s="636"/>
      <c r="AA276" s="636"/>
      <c r="AB276" s="636"/>
      <c r="AC276" s="636"/>
      <c r="AD276" s="560"/>
      <c r="AE276" s="560"/>
      <c r="AF276" s="560"/>
      <c r="AG276" s="560"/>
    </row>
    <row r="277" spans="1:33" ht="15.75">
      <c r="A277" s="648"/>
      <c r="B277" s="560"/>
      <c r="C277" s="649"/>
      <c r="D277" s="510"/>
      <c r="E277" s="510"/>
      <c r="F277" s="510"/>
      <c r="G277" s="510"/>
      <c r="H277" s="560"/>
      <c r="I277" s="560"/>
      <c r="J277" s="560"/>
      <c r="K277" s="560"/>
      <c r="L277" s="650"/>
      <c r="M277" s="650"/>
      <c r="N277" s="650"/>
      <c r="O277" s="650"/>
      <c r="P277" s="650"/>
      <c r="Q277" s="650"/>
      <c r="R277" s="650"/>
      <c r="S277" s="650"/>
      <c r="T277" s="651"/>
      <c r="U277" s="651"/>
      <c r="V277" s="651"/>
      <c r="W277" s="651"/>
      <c r="X277" s="651"/>
      <c r="Y277" s="652"/>
      <c r="Z277" s="636"/>
      <c r="AA277" s="636"/>
      <c r="AB277" s="636"/>
      <c r="AC277" s="636"/>
      <c r="AD277" s="560"/>
      <c r="AE277" s="560"/>
      <c r="AF277" s="560"/>
      <c r="AG277" s="560"/>
    </row>
    <row r="278" spans="1:33" ht="15.75">
      <c r="A278" s="648"/>
      <c r="B278" s="560"/>
      <c r="C278" s="649"/>
      <c r="D278" s="510"/>
      <c r="E278" s="510"/>
      <c r="F278" s="510"/>
      <c r="G278" s="510"/>
      <c r="H278" s="560"/>
      <c r="I278" s="560"/>
      <c r="J278" s="560"/>
      <c r="K278" s="560"/>
      <c r="L278" s="650"/>
      <c r="M278" s="650"/>
      <c r="N278" s="650"/>
      <c r="O278" s="650"/>
      <c r="P278" s="650"/>
      <c r="Q278" s="650"/>
      <c r="R278" s="650"/>
      <c r="S278" s="650"/>
      <c r="T278" s="651"/>
      <c r="U278" s="651"/>
      <c r="V278" s="651"/>
      <c r="W278" s="651"/>
      <c r="X278" s="651"/>
      <c r="Y278" s="652"/>
      <c r="Z278" s="636"/>
      <c r="AA278" s="636"/>
      <c r="AB278" s="636"/>
      <c r="AC278" s="636"/>
      <c r="AD278" s="560"/>
      <c r="AE278" s="560"/>
      <c r="AF278" s="560"/>
      <c r="AG278" s="560"/>
    </row>
    <row r="279" spans="1:33" ht="15.75">
      <c r="A279" s="648"/>
      <c r="B279" s="560"/>
      <c r="C279" s="649"/>
      <c r="D279" s="510"/>
      <c r="E279" s="510"/>
      <c r="F279" s="510"/>
      <c r="G279" s="510"/>
      <c r="H279" s="560"/>
      <c r="I279" s="560"/>
      <c r="J279" s="560"/>
      <c r="K279" s="560"/>
      <c r="L279" s="650"/>
      <c r="M279" s="650"/>
      <c r="N279" s="650"/>
      <c r="O279" s="650"/>
      <c r="P279" s="650"/>
      <c r="Q279" s="650"/>
      <c r="R279" s="650"/>
      <c r="S279" s="650"/>
      <c r="T279" s="651"/>
      <c r="U279" s="651"/>
      <c r="V279" s="651"/>
      <c r="W279" s="651"/>
      <c r="X279" s="651"/>
      <c r="Y279" s="652"/>
      <c r="Z279" s="636"/>
      <c r="AA279" s="636"/>
      <c r="AB279" s="636"/>
      <c r="AC279" s="636"/>
      <c r="AD279" s="560"/>
      <c r="AE279" s="560"/>
      <c r="AF279" s="560"/>
      <c r="AG279" s="560"/>
    </row>
    <row r="280" spans="1:33" ht="15.75">
      <c r="A280" s="648"/>
      <c r="B280" s="560"/>
      <c r="C280" s="649"/>
      <c r="D280" s="510"/>
      <c r="E280" s="510"/>
      <c r="F280" s="510"/>
      <c r="G280" s="510"/>
      <c r="H280" s="560"/>
      <c r="I280" s="560"/>
      <c r="J280" s="560"/>
      <c r="K280" s="560"/>
      <c r="L280" s="650"/>
      <c r="M280" s="650"/>
      <c r="N280" s="650"/>
      <c r="O280" s="650"/>
      <c r="P280" s="650"/>
      <c r="Q280" s="650"/>
      <c r="R280" s="650"/>
      <c r="S280" s="650"/>
      <c r="T280" s="651"/>
      <c r="U280" s="651"/>
      <c r="V280" s="651"/>
      <c r="W280" s="651"/>
      <c r="X280" s="651"/>
      <c r="Y280" s="652"/>
      <c r="Z280" s="636"/>
      <c r="AA280" s="636"/>
      <c r="AB280" s="636"/>
      <c r="AC280" s="636"/>
      <c r="AD280" s="560"/>
      <c r="AE280" s="560"/>
      <c r="AF280" s="560"/>
      <c r="AG280" s="560"/>
    </row>
    <row r="281" spans="1:33" ht="15.75">
      <c r="A281" s="648"/>
      <c r="B281" s="560"/>
      <c r="C281" s="649"/>
      <c r="D281" s="510"/>
      <c r="E281" s="510"/>
      <c r="F281" s="510"/>
      <c r="G281" s="510"/>
      <c r="H281" s="560"/>
      <c r="I281" s="560"/>
      <c r="J281" s="560"/>
      <c r="K281" s="560"/>
      <c r="L281" s="650"/>
      <c r="M281" s="650"/>
      <c r="N281" s="650"/>
      <c r="O281" s="650"/>
      <c r="P281" s="650"/>
      <c r="Q281" s="650"/>
      <c r="R281" s="650"/>
      <c r="S281" s="650"/>
      <c r="T281" s="651"/>
      <c r="U281" s="651"/>
      <c r="V281" s="651"/>
      <c r="W281" s="651"/>
      <c r="X281" s="651"/>
      <c r="Y281" s="652"/>
      <c r="Z281" s="636"/>
      <c r="AA281" s="636"/>
      <c r="AB281" s="636"/>
      <c r="AC281" s="636"/>
      <c r="AD281" s="560"/>
      <c r="AE281" s="560"/>
      <c r="AF281" s="560"/>
      <c r="AG281" s="560"/>
    </row>
    <row r="282" spans="1:33" ht="15.75">
      <c r="A282" s="648"/>
      <c r="B282" s="560"/>
      <c r="C282" s="649"/>
      <c r="D282" s="510"/>
      <c r="E282" s="510"/>
      <c r="F282" s="510"/>
      <c r="G282" s="510"/>
      <c r="H282" s="560"/>
      <c r="I282" s="560"/>
      <c r="J282" s="560"/>
      <c r="K282" s="560"/>
      <c r="L282" s="650"/>
      <c r="M282" s="650"/>
      <c r="N282" s="650"/>
      <c r="O282" s="650"/>
      <c r="P282" s="650"/>
      <c r="Q282" s="650"/>
      <c r="R282" s="650"/>
      <c r="S282" s="650"/>
      <c r="T282" s="651"/>
      <c r="U282" s="651"/>
      <c r="V282" s="651"/>
      <c r="W282" s="651"/>
      <c r="X282" s="651"/>
      <c r="Y282" s="652"/>
      <c r="Z282" s="636"/>
      <c r="AA282" s="636"/>
      <c r="AB282" s="636"/>
      <c r="AC282" s="636"/>
      <c r="AD282" s="560"/>
      <c r="AE282" s="560"/>
      <c r="AF282" s="560"/>
      <c r="AG282" s="560"/>
    </row>
    <row r="283" spans="1:33" ht="15.75">
      <c r="A283" s="648"/>
      <c r="B283" s="560"/>
      <c r="C283" s="649"/>
      <c r="D283" s="510"/>
      <c r="E283" s="510"/>
      <c r="F283" s="510"/>
      <c r="G283" s="510"/>
      <c r="H283" s="560"/>
      <c r="I283" s="560"/>
      <c r="J283" s="560"/>
      <c r="K283" s="560"/>
      <c r="L283" s="650"/>
      <c r="M283" s="650"/>
      <c r="N283" s="650"/>
      <c r="O283" s="650"/>
      <c r="P283" s="650"/>
      <c r="Q283" s="650"/>
      <c r="R283" s="650"/>
      <c r="S283" s="650"/>
      <c r="T283" s="651"/>
      <c r="U283" s="651"/>
      <c r="V283" s="651"/>
      <c r="W283" s="651"/>
      <c r="X283" s="651"/>
      <c r="Y283" s="652"/>
      <c r="Z283" s="636"/>
      <c r="AA283" s="636"/>
      <c r="AB283" s="636"/>
      <c r="AC283" s="636"/>
      <c r="AD283" s="560"/>
      <c r="AE283" s="560"/>
      <c r="AF283" s="560"/>
      <c r="AG283" s="560"/>
    </row>
    <row r="284" spans="1:33" ht="15.75">
      <c r="A284" s="648"/>
      <c r="B284" s="560"/>
      <c r="C284" s="649"/>
      <c r="D284" s="510"/>
      <c r="E284" s="510"/>
      <c r="F284" s="510"/>
      <c r="G284" s="510"/>
      <c r="H284" s="560"/>
      <c r="I284" s="560"/>
      <c r="J284" s="560"/>
      <c r="K284" s="560"/>
      <c r="L284" s="650"/>
      <c r="M284" s="650"/>
      <c r="N284" s="650"/>
      <c r="O284" s="650"/>
      <c r="P284" s="650"/>
      <c r="Q284" s="650"/>
      <c r="R284" s="650"/>
      <c r="S284" s="650"/>
      <c r="T284" s="651"/>
      <c r="U284" s="651"/>
      <c r="V284" s="651"/>
      <c r="W284" s="651"/>
      <c r="X284" s="651"/>
      <c r="Y284" s="652"/>
      <c r="Z284" s="636"/>
      <c r="AA284" s="636"/>
      <c r="AB284" s="636"/>
      <c r="AC284" s="636"/>
      <c r="AD284" s="560"/>
      <c r="AE284" s="560"/>
      <c r="AF284" s="560"/>
      <c r="AG284" s="560"/>
    </row>
    <row r="285" spans="1:33" ht="15.75">
      <c r="A285" s="648"/>
      <c r="B285" s="560"/>
      <c r="C285" s="649"/>
      <c r="D285" s="510"/>
      <c r="E285" s="510"/>
      <c r="F285" s="510"/>
      <c r="G285" s="510"/>
      <c r="H285" s="560"/>
      <c r="I285" s="560"/>
      <c r="J285" s="560"/>
      <c r="K285" s="560"/>
      <c r="L285" s="650"/>
      <c r="M285" s="650"/>
      <c r="N285" s="650"/>
      <c r="O285" s="650"/>
      <c r="P285" s="650"/>
      <c r="Q285" s="650"/>
      <c r="R285" s="650"/>
      <c r="S285" s="650"/>
      <c r="T285" s="651"/>
      <c r="U285" s="651"/>
      <c r="V285" s="651"/>
      <c r="W285" s="651"/>
      <c r="X285" s="651"/>
      <c r="Y285" s="652"/>
      <c r="Z285" s="636"/>
      <c r="AA285" s="636"/>
      <c r="AB285" s="636"/>
      <c r="AC285" s="636"/>
      <c r="AD285" s="560"/>
      <c r="AE285" s="560"/>
      <c r="AF285" s="560"/>
      <c r="AG285" s="560"/>
    </row>
    <row r="286" spans="1:33" ht="15.75">
      <c r="A286" s="648"/>
      <c r="B286" s="560"/>
      <c r="C286" s="649"/>
      <c r="D286" s="510"/>
      <c r="E286" s="510"/>
      <c r="F286" s="510"/>
      <c r="G286" s="510"/>
      <c r="H286" s="560"/>
      <c r="I286" s="560"/>
      <c r="J286" s="560"/>
      <c r="K286" s="560"/>
      <c r="L286" s="650"/>
      <c r="M286" s="650"/>
      <c r="N286" s="650"/>
      <c r="O286" s="650"/>
      <c r="P286" s="650"/>
      <c r="Q286" s="650"/>
      <c r="R286" s="650"/>
      <c r="S286" s="650"/>
      <c r="T286" s="651"/>
      <c r="U286" s="651"/>
      <c r="V286" s="651"/>
      <c r="W286" s="651"/>
      <c r="X286" s="651"/>
      <c r="Y286" s="652"/>
      <c r="Z286" s="636"/>
      <c r="AA286" s="636"/>
      <c r="AB286" s="636"/>
      <c r="AC286" s="636"/>
      <c r="AD286" s="560"/>
      <c r="AE286" s="560"/>
      <c r="AF286" s="560"/>
      <c r="AG286" s="560"/>
    </row>
    <row r="287" spans="1:33" ht="15.75">
      <c r="A287" s="648"/>
      <c r="B287" s="560"/>
      <c r="C287" s="649"/>
      <c r="D287" s="510"/>
      <c r="E287" s="510"/>
      <c r="F287" s="510"/>
      <c r="G287" s="510"/>
      <c r="H287" s="560"/>
      <c r="I287" s="560"/>
      <c r="J287" s="560"/>
      <c r="K287" s="560"/>
      <c r="L287" s="650"/>
      <c r="M287" s="650"/>
      <c r="N287" s="650"/>
      <c r="O287" s="650"/>
      <c r="P287" s="650"/>
      <c r="Q287" s="650"/>
      <c r="R287" s="650"/>
      <c r="S287" s="650"/>
      <c r="T287" s="651"/>
      <c r="U287" s="651"/>
      <c r="V287" s="651"/>
      <c r="W287" s="651"/>
      <c r="X287" s="651"/>
      <c r="Y287" s="652"/>
      <c r="Z287" s="636"/>
      <c r="AA287" s="636"/>
      <c r="AB287" s="636"/>
      <c r="AC287" s="636"/>
      <c r="AD287" s="560"/>
      <c r="AE287" s="560"/>
      <c r="AF287" s="560"/>
      <c r="AG287" s="560"/>
    </row>
    <row r="288" spans="1:33" ht="15.75">
      <c r="A288" s="648"/>
      <c r="B288" s="560"/>
      <c r="C288" s="649"/>
      <c r="D288" s="510"/>
      <c r="E288" s="510"/>
      <c r="F288" s="510"/>
      <c r="G288" s="510"/>
      <c r="H288" s="560"/>
      <c r="I288" s="560"/>
      <c r="J288" s="560"/>
      <c r="K288" s="560"/>
      <c r="L288" s="650"/>
      <c r="M288" s="650"/>
      <c r="N288" s="650"/>
      <c r="O288" s="650"/>
      <c r="P288" s="650"/>
      <c r="Q288" s="650"/>
      <c r="R288" s="650"/>
      <c r="S288" s="650"/>
      <c r="T288" s="651"/>
      <c r="U288" s="651"/>
      <c r="V288" s="651"/>
      <c r="W288" s="651"/>
      <c r="X288" s="651"/>
      <c r="Y288" s="652"/>
      <c r="Z288" s="636"/>
      <c r="AA288" s="636"/>
      <c r="AB288" s="636"/>
      <c r="AC288" s="636"/>
      <c r="AD288" s="560"/>
      <c r="AE288" s="560"/>
      <c r="AF288" s="560"/>
      <c r="AG288" s="560"/>
    </row>
    <row r="289" spans="1:33" ht="15.75">
      <c r="A289" s="648"/>
      <c r="B289" s="560"/>
      <c r="C289" s="649"/>
      <c r="D289" s="510"/>
      <c r="E289" s="510"/>
      <c r="F289" s="510"/>
      <c r="G289" s="510"/>
      <c r="H289" s="560"/>
      <c r="I289" s="560"/>
      <c r="J289" s="560"/>
      <c r="K289" s="560"/>
      <c r="L289" s="650"/>
      <c r="M289" s="650"/>
      <c r="N289" s="650"/>
      <c r="O289" s="650"/>
      <c r="P289" s="650"/>
      <c r="Q289" s="650"/>
      <c r="R289" s="650"/>
      <c r="S289" s="650"/>
      <c r="T289" s="651"/>
      <c r="U289" s="651"/>
      <c r="V289" s="651"/>
      <c r="W289" s="651"/>
      <c r="X289" s="651"/>
      <c r="Y289" s="652"/>
      <c r="Z289" s="636"/>
      <c r="AA289" s="636"/>
      <c r="AB289" s="636"/>
      <c r="AC289" s="636"/>
      <c r="AD289" s="560"/>
      <c r="AE289" s="560"/>
      <c r="AF289" s="560"/>
      <c r="AG289" s="560"/>
    </row>
    <row r="290" spans="1:33" ht="15.75">
      <c r="A290" s="648"/>
      <c r="B290" s="560"/>
      <c r="C290" s="649"/>
      <c r="D290" s="510"/>
      <c r="E290" s="510"/>
      <c r="F290" s="510"/>
      <c r="G290" s="510"/>
      <c r="H290" s="560"/>
      <c r="I290" s="560"/>
      <c r="J290" s="560"/>
      <c r="K290" s="560"/>
      <c r="L290" s="650"/>
      <c r="M290" s="650"/>
      <c r="N290" s="650"/>
      <c r="O290" s="650"/>
      <c r="P290" s="650"/>
      <c r="Q290" s="650"/>
      <c r="R290" s="650"/>
      <c r="S290" s="650"/>
      <c r="T290" s="651"/>
      <c r="U290" s="651"/>
      <c r="V290" s="651"/>
      <c r="W290" s="651"/>
      <c r="X290" s="651"/>
      <c r="Y290" s="652"/>
      <c r="Z290" s="636"/>
      <c r="AA290" s="636"/>
      <c r="AB290" s="636"/>
      <c r="AC290" s="636"/>
      <c r="AD290" s="560"/>
      <c r="AE290" s="560"/>
      <c r="AF290" s="560"/>
      <c r="AG290" s="560"/>
    </row>
    <row r="291" spans="1:33" ht="15.75">
      <c r="A291" s="648"/>
      <c r="B291" s="560"/>
      <c r="C291" s="649"/>
      <c r="D291" s="510"/>
      <c r="E291" s="510"/>
      <c r="F291" s="510"/>
      <c r="G291" s="510"/>
      <c r="H291" s="560"/>
      <c r="I291" s="560"/>
      <c r="J291" s="560"/>
      <c r="K291" s="560"/>
      <c r="L291" s="650"/>
      <c r="M291" s="650"/>
      <c r="N291" s="650"/>
      <c r="O291" s="650"/>
      <c r="P291" s="650"/>
      <c r="Q291" s="650"/>
      <c r="R291" s="650"/>
      <c r="S291" s="650"/>
      <c r="T291" s="651"/>
      <c r="U291" s="651"/>
      <c r="V291" s="651"/>
      <c r="W291" s="651"/>
      <c r="X291" s="651"/>
      <c r="Y291" s="652"/>
      <c r="Z291" s="636"/>
      <c r="AA291" s="636"/>
      <c r="AB291" s="636"/>
      <c r="AC291" s="636"/>
      <c r="AD291" s="560"/>
      <c r="AE291" s="560"/>
      <c r="AF291" s="560"/>
      <c r="AG291" s="560"/>
    </row>
    <row r="292" spans="1:33" ht="15.75">
      <c r="A292" s="648"/>
      <c r="B292" s="560"/>
      <c r="C292" s="649"/>
      <c r="D292" s="510"/>
      <c r="E292" s="510"/>
      <c r="F292" s="510"/>
      <c r="G292" s="510"/>
      <c r="H292" s="560"/>
      <c r="I292" s="560"/>
      <c r="J292" s="560"/>
      <c r="K292" s="560"/>
      <c r="L292" s="650"/>
      <c r="M292" s="650"/>
      <c r="N292" s="650"/>
      <c r="O292" s="650"/>
      <c r="P292" s="650"/>
      <c r="Q292" s="650"/>
      <c r="R292" s="650"/>
      <c r="S292" s="650"/>
      <c r="T292" s="651"/>
      <c r="U292" s="651"/>
      <c r="V292" s="651"/>
      <c r="W292" s="651"/>
      <c r="X292" s="651"/>
      <c r="Y292" s="652"/>
      <c r="Z292" s="636"/>
      <c r="AA292" s="636"/>
      <c r="AB292" s="636"/>
      <c r="AC292" s="636"/>
      <c r="AD292" s="560"/>
      <c r="AE292" s="560"/>
      <c r="AF292" s="560"/>
      <c r="AG292" s="560"/>
    </row>
    <row r="293" spans="1:33" ht="15.75">
      <c r="A293" s="648"/>
      <c r="B293" s="560"/>
      <c r="C293" s="649"/>
      <c r="D293" s="510"/>
      <c r="E293" s="510"/>
      <c r="F293" s="510"/>
      <c r="G293" s="510"/>
      <c r="H293" s="560"/>
      <c r="I293" s="560"/>
      <c r="J293" s="560"/>
      <c r="K293" s="560"/>
      <c r="L293" s="650"/>
      <c r="M293" s="650"/>
      <c r="N293" s="650"/>
      <c r="O293" s="650"/>
      <c r="P293" s="650"/>
      <c r="Q293" s="650"/>
      <c r="R293" s="650"/>
      <c r="S293" s="650"/>
      <c r="T293" s="651"/>
      <c r="U293" s="651"/>
      <c r="V293" s="651"/>
      <c r="W293" s="651"/>
      <c r="X293" s="651"/>
      <c r="Y293" s="652"/>
      <c r="Z293" s="636"/>
      <c r="AA293" s="636"/>
      <c r="AB293" s="636"/>
      <c r="AC293" s="636"/>
      <c r="AD293" s="560"/>
      <c r="AE293" s="560"/>
      <c r="AF293" s="560"/>
      <c r="AG293" s="560"/>
    </row>
    <row r="294" spans="1:33" ht="15.75">
      <c r="A294" s="648"/>
      <c r="B294" s="560"/>
      <c r="C294" s="649"/>
      <c r="D294" s="510"/>
      <c r="E294" s="510"/>
      <c r="F294" s="510"/>
      <c r="G294" s="510"/>
      <c r="H294" s="560"/>
      <c r="I294" s="560"/>
      <c r="J294" s="560"/>
      <c r="K294" s="560"/>
      <c r="L294" s="650"/>
      <c r="M294" s="650"/>
      <c r="N294" s="650"/>
      <c r="O294" s="650"/>
      <c r="P294" s="650"/>
      <c r="Q294" s="650"/>
      <c r="R294" s="650"/>
      <c r="S294" s="650"/>
      <c r="T294" s="651"/>
      <c r="U294" s="651"/>
      <c r="V294" s="651"/>
      <c r="W294" s="651"/>
      <c r="X294" s="651"/>
      <c r="Y294" s="652"/>
      <c r="Z294" s="636"/>
      <c r="AA294" s="636"/>
      <c r="AB294" s="636"/>
      <c r="AC294" s="636"/>
      <c r="AD294" s="560"/>
      <c r="AE294" s="560"/>
      <c r="AF294" s="560"/>
      <c r="AG294" s="560"/>
    </row>
    <row r="295" spans="1:33" ht="15.75">
      <c r="A295" s="648"/>
      <c r="B295" s="560"/>
      <c r="C295" s="649"/>
      <c r="D295" s="510"/>
      <c r="E295" s="510"/>
      <c r="F295" s="510"/>
      <c r="G295" s="510"/>
      <c r="H295" s="560"/>
      <c r="I295" s="560"/>
      <c r="J295" s="560"/>
      <c r="K295" s="560"/>
      <c r="L295" s="650"/>
      <c r="M295" s="650"/>
      <c r="N295" s="650"/>
      <c r="O295" s="650"/>
      <c r="P295" s="650"/>
      <c r="Q295" s="650"/>
      <c r="R295" s="650"/>
      <c r="S295" s="650"/>
      <c r="T295" s="651"/>
      <c r="U295" s="651"/>
      <c r="V295" s="651"/>
      <c r="W295" s="651"/>
      <c r="X295" s="651"/>
      <c r="Y295" s="652"/>
      <c r="Z295" s="636"/>
      <c r="AA295" s="636"/>
      <c r="AB295" s="636"/>
      <c r="AC295" s="636"/>
      <c r="AD295" s="560"/>
      <c r="AE295" s="560"/>
      <c r="AF295" s="560"/>
      <c r="AG295" s="560"/>
    </row>
    <row r="296" spans="1:33" ht="15.75">
      <c r="A296" s="648"/>
      <c r="B296" s="560"/>
      <c r="C296" s="649"/>
      <c r="D296" s="510"/>
      <c r="E296" s="510"/>
      <c r="F296" s="510"/>
      <c r="G296" s="510"/>
      <c r="H296" s="560"/>
      <c r="I296" s="560"/>
      <c r="J296" s="560"/>
      <c r="K296" s="560"/>
      <c r="L296" s="650"/>
      <c r="M296" s="650"/>
      <c r="N296" s="650"/>
      <c r="O296" s="650"/>
      <c r="P296" s="650"/>
      <c r="Q296" s="650"/>
      <c r="R296" s="650"/>
      <c r="S296" s="650"/>
      <c r="T296" s="651"/>
      <c r="U296" s="651"/>
      <c r="V296" s="651"/>
      <c r="W296" s="651"/>
      <c r="X296" s="651"/>
      <c r="Y296" s="652"/>
      <c r="Z296" s="636"/>
      <c r="AA296" s="636"/>
      <c r="AB296" s="636"/>
      <c r="AC296" s="636"/>
      <c r="AD296" s="560"/>
      <c r="AE296" s="560"/>
      <c r="AF296" s="560"/>
      <c r="AG296" s="560"/>
    </row>
    <row r="297" spans="1:33" ht="15.75">
      <c r="A297" s="648"/>
      <c r="B297" s="560"/>
      <c r="C297" s="649"/>
      <c r="D297" s="510"/>
      <c r="E297" s="510"/>
      <c r="F297" s="510"/>
      <c r="G297" s="510"/>
      <c r="H297" s="560"/>
      <c r="I297" s="560"/>
      <c r="J297" s="560"/>
      <c r="K297" s="560"/>
      <c r="L297" s="650"/>
      <c r="M297" s="650"/>
      <c r="N297" s="650"/>
      <c r="O297" s="650"/>
      <c r="P297" s="650"/>
      <c r="Q297" s="650"/>
      <c r="R297" s="650"/>
      <c r="S297" s="650"/>
      <c r="T297" s="651"/>
      <c r="U297" s="651"/>
      <c r="V297" s="651"/>
      <c r="W297" s="651"/>
      <c r="X297" s="651"/>
      <c r="Y297" s="652"/>
      <c r="Z297" s="636"/>
      <c r="AA297" s="636"/>
      <c r="AB297" s="636"/>
      <c r="AC297" s="636"/>
      <c r="AD297" s="560"/>
      <c r="AE297" s="560"/>
      <c r="AF297" s="560"/>
      <c r="AG297" s="560"/>
    </row>
    <row r="298" spans="1:33" ht="15.75">
      <c r="A298" s="648"/>
      <c r="B298" s="560"/>
      <c r="C298" s="649"/>
      <c r="D298" s="510"/>
      <c r="E298" s="510"/>
      <c r="F298" s="510"/>
      <c r="G298" s="510"/>
      <c r="H298" s="560"/>
      <c r="I298" s="560"/>
      <c r="J298" s="560"/>
      <c r="K298" s="560"/>
      <c r="L298" s="650"/>
      <c r="M298" s="650"/>
      <c r="N298" s="650"/>
      <c r="O298" s="650"/>
      <c r="P298" s="650"/>
      <c r="Q298" s="650"/>
      <c r="R298" s="650"/>
      <c r="S298" s="650"/>
      <c r="T298" s="651"/>
      <c r="U298" s="651"/>
      <c r="V298" s="651"/>
      <c r="W298" s="651"/>
      <c r="X298" s="651"/>
      <c r="Y298" s="652"/>
      <c r="Z298" s="636"/>
      <c r="AA298" s="636"/>
      <c r="AB298" s="636"/>
      <c r="AC298" s="636"/>
      <c r="AD298" s="560"/>
      <c r="AE298" s="560"/>
      <c r="AF298" s="560"/>
      <c r="AG298" s="560"/>
    </row>
    <row r="299" spans="1:33" ht="15.75">
      <c r="A299" s="648"/>
      <c r="B299" s="560"/>
      <c r="C299" s="649"/>
      <c r="D299" s="510"/>
      <c r="E299" s="510"/>
      <c r="F299" s="510"/>
      <c r="G299" s="510"/>
      <c r="H299" s="560"/>
      <c r="I299" s="560"/>
      <c r="J299" s="560"/>
      <c r="K299" s="560"/>
      <c r="L299" s="650"/>
      <c r="M299" s="650"/>
      <c r="N299" s="650"/>
      <c r="O299" s="650"/>
      <c r="P299" s="650"/>
      <c r="Q299" s="650"/>
      <c r="R299" s="650"/>
      <c r="S299" s="650"/>
      <c r="T299" s="651"/>
      <c r="U299" s="651"/>
      <c r="V299" s="651"/>
      <c r="W299" s="651"/>
      <c r="X299" s="651"/>
      <c r="Y299" s="652"/>
      <c r="Z299" s="636"/>
      <c r="AA299" s="636"/>
      <c r="AB299" s="636"/>
      <c r="AC299" s="636"/>
      <c r="AD299" s="560"/>
      <c r="AE299" s="560"/>
      <c r="AF299" s="560"/>
      <c r="AG299" s="560"/>
    </row>
    <row r="300" spans="1:33" ht="15.75">
      <c r="A300" s="648"/>
      <c r="B300" s="560"/>
      <c r="C300" s="649"/>
      <c r="D300" s="510"/>
      <c r="E300" s="510"/>
      <c r="F300" s="510"/>
      <c r="G300" s="510"/>
      <c r="H300" s="560"/>
      <c r="I300" s="560"/>
      <c r="J300" s="560"/>
      <c r="K300" s="560"/>
      <c r="L300" s="650"/>
      <c r="M300" s="650"/>
      <c r="N300" s="650"/>
      <c r="O300" s="650"/>
      <c r="P300" s="650"/>
      <c r="Q300" s="650"/>
      <c r="R300" s="650"/>
      <c r="S300" s="650"/>
      <c r="T300" s="651"/>
      <c r="U300" s="651"/>
      <c r="V300" s="651"/>
      <c r="W300" s="651"/>
      <c r="X300" s="651"/>
      <c r="Y300" s="652"/>
      <c r="Z300" s="636"/>
      <c r="AA300" s="636"/>
      <c r="AB300" s="636"/>
      <c r="AC300" s="636"/>
      <c r="AD300" s="560"/>
      <c r="AE300" s="560"/>
      <c r="AF300" s="560"/>
      <c r="AG300" s="560"/>
    </row>
    <row r="301" spans="1:33" ht="15.75">
      <c r="A301" s="648"/>
      <c r="B301" s="560"/>
      <c r="C301" s="649"/>
      <c r="D301" s="510"/>
      <c r="E301" s="510"/>
      <c r="F301" s="510"/>
      <c r="G301" s="510"/>
      <c r="H301" s="560"/>
      <c r="I301" s="560"/>
      <c r="J301" s="560"/>
      <c r="K301" s="560"/>
      <c r="L301" s="650"/>
      <c r="M301" s="650"/>
      <c r="N301" s="650"/>
      <c r="O301" s="650"/>
      <c r="P301" s="650"/>
      <c r="Q301" s="650"/>
      <c r="R301" s="650"/>
      <c r="S301" s="650"/>
      <c r="T301" s="651"/>
      <c r="U301" s="651"/>
      <c r="V301" s="651"/>
      <c r="W301" s="651"/>
      <c r="X301" s="651"/>
      <c r="Y301" s="652"/>
      <c r="Z301" s="636"/>
      <c r="AA301" s="636"/>
      <c r="AB301" s="636"/>
      <c r="AC301" s="636"/>
      <c r="AD301" s="560"/>
      <c r="AE301" s="560"/>
      <c r="AF301" s="560"/>
      <c r="AG301" s="560"/>
    </row>
    <row r="302" spans="1:33" ht="15.75">
      <c r="A302" s="648"/>
      <c r="B302" s="560"/>
      <c r="C302" s="649"/>
      <c r="D302" s="510"/>
      <c r="E302" s="510"/>
      <c r="F302" s="510"/>
      <c r="G302" s="510"/>
      <c r="H302" s="560"/>
      <c r="I302" s="560"/>
      <c r="J302" s="560"/>
      <c r="K302" s="560"/>
      <c r="L302" s="650"/>
      <c r="M302" s="650"/>
      <c r="N302" s="650"/>
      <c r="O302" s="650"/>
      <c r="P302" s="650"/>
      <c r="Q302" s="650"/>
      <c r="R302" s="650"/>
      <c r="S302" s="650"/>
      <c r="T302" s="651"/>
      <c r="U302" s="651"/>
      <c r="V302" s="651"/>
      <c r="W302" s="651"/>
      <c r="X302" s="651"/>
      <c r="Y302" s="652"/>
      <c r="Z302" s="636"/>
      <c r="AA302" s="636"/>
      <c r="AB302" s="636"/>
      <c r="AC302" s="636"/>
      <c r="AD302" s="560"/>
      <c r="AE302" s="560"/>
      <c r="AF302" s="560"/>
      <c r="AG302" s="560"/>
    </row>
    <row r="303" spans="1:33" ht="15.75">
      <c r="A303" s="648"/>
      <c r="B303" s="560"/>
      <c r="C303" s="649"/>
      <c r="D303" s="510"/>
      <c r="E303" s="510"/>
      <c r="F303" s="510"/>
      <c r="G303" s="510"/>
      <c r="H303" s="560"/>
      <c r="I303" s="560"/>
      <c r="J303" s="560"/>
      <c r="K303" s="560"/>
      <c r="L303" s="650"/>
      <c r="M303" s="650"/>
      <c r="N303" s="650"/>
      <c r="O303" s="650"/>
      <c r="P303" s="650"/>
      <c r="Q303" s="650"/>
      <c r="R303" s="650"/>
      <c r="S303" s="650"/>
      <c r="T303" s="651"/>
      <c r="U303" s="651"/>
      <c r="V303" s="651"/>
      <c r="W303" s="651"/>
      <c r="X303" s="651"/>
      <c r="Y303" s="652"/>
      <c r="Z303" s="636"/>
      <c r="AA303" s="636"/>
      <c r="AB303" s="636"/>
      <c r="AC303" s="636"/>
      <c r="AD303" s="560"/>
      <c r="AE303" s="560"/>
      <c r="AF303" s="560"/>
      <c r="AG303" s="560"/>
    </row>
    <row r="304" spans="1:33" ht="15.75">
      <c r="A304" s="648"/>
      <c r="B304" s="560"/>
      <c r="C304" s="649"/>
      <c r="D304" s="510"/>
      <c r="E304" s="510"/>
      <c r="F304" s="510"/>
      <c r="G304" s="510"/>
      <c r="H304" s="560"/>
      <c r="I304" s="560"/>
      <c r="J304" s="560"/>
      <c r="K304" s="560"/>
      <c r="L304" s="650"/>
      <c r="M304" s="650"/>
      <c r="N304" s="650"/>
      <c r="O304" s="650"/>
      <c r="P304" s="650"/>
      <c r="Q304" s="650"/>
      <c r="R304" s="650"/>
      <c r="S304" s="650"/>
      <c r="T304" s="651"/>
      <c r="U304" s="651"/>
      <c r="V304" s="651"/>
      <c r="W304" s="651"/>
      <c r="X304" s="651"/>
      <c r="Y304" s="652"/>
      <c r="Z304" s="636"/>
      <c r="AA304" s="636"/>
      <c r="AB304" s="636"/>
      <c r="AC304" s="636"/>
      <c r="AD304" s="560"/>
      <c r="AE304" s="560"/>
      <c r="AF304" s="560"/>
      <c r="AG304" s="560"/>
    </row>
    <row r="305" spans="1:33" ht="15.75">
      <c r="A305" s="648"/>
      <c r="B305" s="560"/>
      <c r="C305" s="649"/>
      <c r="D305" s="510"/>
      <c r="E305" s="510"/>
      <c r="F305" s="510"/>
      <c r="G305" s="510"/>
      <c r="H305" s="560"/>
      <c r="I305" s="560"/>
      <c r="J305" s="560"/>
      <c r="K305" s="560"/>
      <c r="L305" s="650"/>
      <c r="M305" s="650"/>
      <c r="N305" s="650"/>
      <c r="O305" s="650"/>
      <c r="P305" s="650"/>
      <c r="Q305" s="650"/>
      <c r="R305" s="650"/>
      <c r="S305" s="650"/>
      <c r="T305" s="651"/>
      <c r="U305" s="651"/>
      <c r="V305" s="651"/>
      <c r="W305" s="651"/>
      <c r="X305" s="651"/>
      <c r="Y305" s="652"/>
      <c r="Z305" s="636"/>
      <c r="AA305" s="636"/>
      <c r="AB305" s="636"/>
      <c r="AC305" s="636"/>
      <c r="AD305" s="560"/>
      <c r="AE305" s="560"/>
      <c r="AF305" s="560"/>
      <c r="AG305" s="560"/>
    </row>
    <row r="306" spans="1:33" ht="15.75">
      <c r="A306" s="648"/>
      <c r="B306" s="560"/>
      <c r="C306" s="649"/>
      <c r="D306" s="510"/>
      <c r="E306" s="510"/>
      <c r="F306" s="510"/>
      <c r="G306" s="510"/>
      <c r="H306" s="560"/>
      <c r="I306" s="560"/>
      <c r="J306" s="560"/>
      <c r="K306" s="560"/>
      <c r="L306" s="650"/>
      <c r="M306" s="650"/>
      <c r="N306" s="650"/>
      <c r="O306" s="650"/>
      <c r="P306" s="650"/>
      <c r="Q306" s="650"/>
      <c r="R306" s="650"/>
      <c r="S306" s="650"/>
      <c r="T306" s="651"/>
      <c r="U306" s="651"/>
      <c r="V306" s="651"/>
      <c r="W306" s="651"/>
      <c r="X306" s="651"/>
      <c r="Y306" s="652"/>
      <c r="Z306" s="636"/>
      <c r="AA306" s="636"/>
      <c r="AB306" s="636"/>
      <c r="AC306" s="636"/>
      <c r="AD306" s="560"/>
      <c r="AE306" s="560"/>
      <c r="AF306" s="560"/>
      <c r="AG306" s="560"/>
    </row>
    <row r="307" spans="1:33" ht="15.75">
      <c r="A307" s="648"/>
      <c r="B307" s="560"/>
      <c r="C307" s="649"/>
      <c r="D307" s="510"/>
      <c r="E307" s="510"/>
      <c r="F307" s="510"/>
      <c r="G307" s="510"/>
      <c r="H307" s="560"/>
      <c r="I307" s="560"/>
      <c r="J307" s="560"/>
      <c r="K307" s="560"/>
      <c r="L307" s="650"/>
      <c r="M307" s="650"/>
      <c r="N307" s="650"/>
      <c r="O307" s="650"/>
      <c r="P307" s="650"/>
      <c r="Q307" s="650"/>
      <c r="R307" s="650"/>
      <c r="S307" s="650"/>
      <c r="T307" s="651"/>
      <c r="U307" s="651"/>
      <c r="V307" s="651"/>
      <c r="W307" s="651"/>
      <c r="X307" s="651"/>
      <c r="Y307" s="652"/>
      <c r="Z307" s="636"/>
      <c r="AA307" s="636"/>
      <c r="AB307" s="636"/>
      <c r="AC307" s="636"/>
      <c r="AD307" s="560"/>
      <c r="AE307" s="560"/>
      <c r="AF307" s="560"/>
      <c r="AG307" s="560"/>
    </row>
    <row r="308" spans="1:33" ht="15.75">
      <c r="A308" s="648"/>
      <c r="B308" s="560"/>
      <c r="C308" s="649"/>
      <c r="D308" s="510"/>
      <c r="E308" s="510"/>
      <c r="F308" s="510"/>
      <c r="G308" s="510"/>
      <c r="H308" s="560"/>
      <c r="I308" s="560"/>
      <c r="J308" s="560"/>
      <c r="K308" s="560"/>
      <c r="L308" s="650"/>
      <c r="M308" s="650"/>
      <c r="N308" s="650"/>
      <c r="O308" s="650"/>
      <c r="P308" s="650"/>
      <c r="Q308" s="650"/>
      <c r="R308" s="650"/>
      <c r="S308" s="650"/>
      <c r="T308" s="651"/>
      <c r="U308" s="651"/>
      <c r="V308" s="651"/>
      <c r="W308" s="651"/>
      <c r="X308" s="651"/>
      <c r="Y308" s="652"/>
      <c r="Z308" s="636"/>
      <c r="AA308" s="636"/>
      <c r="AB308" s="636"/>
      <c r="AC308" s="636"/>
      <c r="AD308" s="560"/>
      <c r="AE308" s="560"/>
      <c r="AF308" s="560"/>
      <c r="AG308" s="560"/>
    </row>
    <row r="309" spans="1:33" ht="15.75">
      <c r="A309" s="648"/>
      <c r="B309" s="560"/>
      <c r="C309" s="649"/>
      <c r="D309" s="510"/>
      <c r="E309" s="510"/>
      <c r="F309" s="510"/>
      <c r="G309" s="510"/>
      <c r="H309" s="560"/>
      <c r="I309" s="560"/>
      <c r="J309" s="560"/>
      <c r="K309" s="560"/>
      <c r="L309" s="650"/>
      <c r="M309" s="650"/>
      <c r="N309" s="650"/>
      <c r="O309" s="650"/>
      <c r="P309" s="650"/>
      <c r="Q309" s="650"/>
      <c r="R309" s="650"/>
      <c r="S309" s="650"/>
      <c r="T309" s="651"/>
      <c r="U309" s="651"/>
      <c r="V309" s="651"/>
      <c r="W309" s="651"/>
      <c r="X309" s="651"/>
      <c r="Y309" s="652"/>
      <c r="Z309" s="636"/>
      <c r="AA309" s="636"/>
      <c r="AB309" s="636"/>
      <c r="AC309" s="636"/>
      <c r="AD309" s="560"/>
      <c r="AE309" s="560"/>
      <c r="AF309" s="560"/>
      <c r="AG309" s="560"/>
    </row>
    <row r="310" spans="1:33" ht="15.75">
      <c r="A310" s="648"/>
      <c r="B310" s="560"/>
      <c r="C310" s="649"/>
      <c r="D310" s="510"/>
      <c r="E310" s="510"/>
      <c r="F310" s="510"/>
      <c r="G310" s="510"/>
      <c r="H310" s="560"/>
      <c r="I310" s="560"/>
      <c r="J310" s="560"/>
      <c r="K310" s="560"/>
      <c r="L310" s="650"/>
      <c r="M310" s="650"/>
      <c r="N310" s="650"/>
      <c r="O310" s="650"/>
      <c r="P310" s="650"/>
      <c r="Q310" s="650"/>
      <c r="R310" s="650"/>
      <c r="S310" s="650"/>
      <c r="T310" s="651"/>
      <c r="U310" s="651"/>
      <c r="V310" s="651"/>
      <c r="W310" s="651"/>
      <c r="X310" s="651"/>
      <c r="Y310" s="652"/>
      <c r="Z310" s="636"/>
      <c r="AA310" s="636"/>
      <c r="AB310" s="636"/>
      <c r="AC310" s="636"/>
      <c r="AD310" s="560"/>
      <c r="AE310" s="560"/>
      <c r="AF310" s="560"/>
      <c r="AG310" s="560"/>
    </row>
    <row r="311" spans="1:33" ht="15.75">
      <c r="A311" s="648"/>
      <c r="B311" s="560"/>
      <c r="C311" s="649"/>
      <c r="D311" s="510"/>
      <c r="E311" s="510"/>
      <c r="F311" s="510"/>
      <c r="G311" s="510"/>
      <c r="H311" s="560"/>
      <c r="I311" s="560"/>
      <c r="J311" s="560"/>
      <c r="K311" s="560"/>
      <c r="L311" s="650"/>
      <c r="M311" s="650"/>
      <c r="N311" s="650"/>
      <c r="O311" s="650"/>
      <c r="P311" s="650"/>
      <c r="Q311" s="650"/>
      <c r="R311" s="650"/>
      <c r="S311" s="650"/>
      <c r="T311" s="651"/>
      <c r="U311" s="651"/>
      <c r="V311" s="651"/>
      <c r="W311" s="651"/>
      <c r="X311" s="651"/>
      <c r="Y311" s="652"/>
      <c r="Z311" s="636"/>
      <c r="AA311" s="636"/>
      <c r="AB311" s="636"/>
      <c r="AC311" s="636"/>
      <c r="AD311" s="560"/>
      <c r="AE311" s="560"/>
      <c r="AF311" s="560"/>
      <c r="AG311" s="560"/>
    </row>
    <row r="312" spans="1:33" ht="15.75">
      <c r="A312" s="648"/>
      <c r="B312" s="560"/>
      <c r="C312" s="649"/>
      <c r="D312" s="510"/>
      <c r="E312" s="510"/>
      <c r="F312" s="510"/>
      <c r="G312" s="510"/>
      <c r="H312" s="560"/>
      <c r="I312" s="560"/>
      <c r="J312" s="560"/>
      <c r="K312" s="560"/>
      <c r="L312" s="650"/>
      <c r="M312" s="650"/>
      <c r="N312" s="650"/>
      <c r="O312" s="650"/>
      <c r="P312" s="650"/>
      <c r="Q312" s="650"/>
      <c r="R312" s="650"/>
      <c r="S312" s="650"/>
      <c r="T312" s="651"/>
      <c r="U312" s="651"/>
      <c r="V312" s="651"/>
      <c r="W312" s="651"/>
      <c r="X312" s="651"/>
      <c r="Y312" s="652"/>
      <c r="Z312" s="636"/>
      <c r="AA312" s="636"/>
      <c r="AB312" s="636"/>
      <c r="AC312" s="636"/>
      <c r="AD312" s="560"/>
      <c r="AE312" s="560"/>
      <c r="AF312" s="560"/>
      <c r="AG312" s="560"/>
    </row>
    <row r="313" spans="1:33" ht="15.75">
      <c r="A313" s="648"/>
      <c r="B313" s="560"/>
      <c r="C313" s="649"/>
      <c r="D313" s="510"/>
      <c r="E313" s="510"/>
      <c r="F313" s="510"/>
      <c r="G313" s="510"/>
      <c r="H313" s="560"/>
      <c r="I313" s="560"/>
      <c r="J313" s="560"/>
      <c r="K313" s="560"/>
      <c r="L313" s="650"/>
      <c r="M313" s="650"/>
      <c r="N313" s="650"/>
      <c r="O313" s="650"/>
      <c r="P313" s="650"/>
      <c r="Q313" s="650"/>
      <c r="R313" s="650"/>
      <c r="S313" s="650"/>
      <c r="T313" s="651"/>
      <c r="U313" s="651"/>
      <c r="V313" s="651"/>
      <c r="W313" s="651"/>
      <c r="X313" s="651"/>
      <c r="Y313" s="652"/>
      <c r="Z313" s="636"/>
      <c r="AA313" s="636"/>
      <c r="AB313" s="636"/>
      <c r="AC313" s="636"/>
      <c r="AD313" s="560"/>
      <c r="AE313" s="560"/>
      <c r="AF313" s="560"/>
      <c r="AG313" s="560"/>
    </row>
    <row r="314" spans="1:33" ht="15.75">
      <c r="A314" s="648"/>
      <c r="B314" s="560"/>
      <c r="C314" s="649"/>
      <c r="D314" s="510"/>
      <c r="E314" s="510"/>
      <c r="F314" s="510"/>
      <c r="G314" s="510"/>
      <c r="H314" s="560"/>
      <c r="I314" s="560"/>
      <c r="J314" s="560"/>
      <c r="K314" s="560"/>
      <c r="L314" s="650"/>
      <c r="M314" s="650"/>
      <c r="N314" s="650"/>
      <c r="O314" s="650"/>
      <c r="P314" s="650"/>
      <c r="Q314" s="650"/>
      <c r="R314" s="650"/>
      <c r="S314" s="650"/>
      <c r="T314" s="651"/>
      <c r="U314" s="651"/>
      <c r="V314" s="651"/>
      <c r="W314" s="651"/>
      <c r="X314" s="651"/>
      <c r="Y314" s="652"/>
      <c r="Z314" s="636"/>
      <c r="AA314" s="636"/>
      <c r="AB314" s="636"/>
      <c r="AC314" s="636"/>
      <c r="AD314" s="560"/>
      <c r="AE314" s="560"/>
      <c r="AF314" s="560"/>
      <c r="AG314" s="560"/>
    </row>
    <row r="315" spans="1:33" ht="15.75">
      <c r="A315" s="648"/>
      <c r="B315" s="560"/>
      <c r="C315" s="649"/>
      <c r="D315" s="510"/>
      <c r="E315" s="510"/>
      <c r="F315" s="510"/>
      <c r="G315" s="510"/>
      <c r="H315" s="560"/>
      <c r="I315" s="560"/>
      <c r="J315" s="560"/>
      <c r="K315" s="560"/>
      <c r="L315" s="650"/>
      <c r="M315" s="650"/>
      <c r="N315" s="650"/>
      <c r="O315" s="650"/>
      <c r="P315" s="650"/>
      <c r="Q315" s="650"/>
      <c r="R315" s="650"/>
      <c r="S315" s="650"/>
      <c r="T315" s="651"/>
      <c r="U315" s="651"/>
      <c r="V315" s="651"/>
      <c r="W315" s="651"/>
      <c r="X315" s="651"/>
      <c r="Y315" s="652"/>
      <c r="Z315" s="636"/>
      <c r="AA315" s="636"/>
      <c r="AB315" s="636"/>
      <c r="AC315" s="636"/>
      <c r="AD315" s="560"/>
      <c r="AE315" s="560"/>
      <c r="AF315" s="560"/>
      <c r="AG315" s="560"/>
    </row>
    <row r="316" spans="1:33" ht="15.75">
      <c r="A316" s="648"/>
      <c r="B316" s="560"/>
      <c r="C316" s="649"/>
      <c r="D316" s="510"/>
      <c r="E316" s="510"/>
      <c r="F316" s="510"/>
      <c r="G316" s="510"/>
      <c r="H316" s="560"/>
      <c r="I316" s="560"/>
      <c r="J316" s="560"/>
      <c r="K316" s="560"/>
      <c r="L316" s="650"/>
      <c r="M316" s="650"/>
      <c r="N316" s="650"/>
      <c r="O316" s="650"/>
      <c r="P316" s="650"/>
      <c r="Q316" s="650"/>
      <c r="R316" s="650"/>
      <c r="S316" s="650"/>
      <c r="T316" s="651"/>
      <c r="U316" s="651"/>
      <c r="V316" s="651"/>
      <c r="W316" s="651"/>
      <c r="X316" s="651"/>
      <c r="Y316" s="652"/>
      <c r="Z316" s="636"/>
      <c r="AA316" s="636"/>
      <c r="AB316" s="636"/>
      <c r="AC316" s="636"/>
      <c r="AD316" s="560"/>
      <c r="AE316" s="560"/>
      <c r="AF316" s="560"/>
      <c r="AG316" s="560"/>
    </row>
    <row r="317" spans="1:33" ht="15.75">
      <c r="A317" s="648"/>
      <c r="B317" s="560"/>
      <c r="C317" s="649"/>
      <c r="D317" s="510"/>
      <c r="E317" s="510"/>
      <c r="F317" s="510"/>
      <c r="G317" s="510"/>
      <c r="H317" s="560"/>
      <c r="I317" s="560"/>
      <c r="J317" s="560"/>
      <c r="K317" s="560"/>
      <c r="L317" s="650"/>
      <c r="M317" s="650"/>
      <c r="N317" s="650"/>
      <c r="O317" s="650"/>
      <c r="P317" s="650"/>
      <c r="Q317" s="650"/>
      <c r="R317" s="650"/>
      <c r="S317" s="650"/>
      <c r="T317" s="651"/>
      <c r="U317" s="651"/>
      <c r="V317" s="651"/>
      <c r="W317" s="651"/>
      <c r="X317" s="651"/>
      <c r="Y317" s="652"/>
      <c r="Z317" s="636"/>
      <c r="AA317" s="636"/>
      <c r="AB317" s="636"/>
      <c r="AC317" s="636"/>
      <c r="AD317" s="560"/>
      <c r="AE317" s="560"/>
      <c r="AF317" s="560"/>
      <c r="AG317" s="560"/>
    </row>
    <row r="318" spans="1:33" ht="15.75">
      <c r="A318" s="648"/>
      <c r="B318" s="560"/>
      <c r="C318" s="649"/>
      <c r="D318" s="510"/>
      <c r="E318" s="510"/>
      <c r="F318" s="510"/>
      <c r="G318" s="510"/>
      <c r="H318" s="560"/>
      <c r="I318" s="560"/>
      <c r="J318" s="560"/>
      <c r="K318" s="560"/>
      <c r="L318" s="650"/>
      <c r="M318" s="650"/>
      <c r="N318" s="650"/>
      <c r="O318" s="650"/>
      <c r="P318" s="650"/>
      <c r="Q318" s="650"/>
      <c r="R318" s="650"/>
      <c r="S318" s="650"/>
      <c r="T318" s="651"/>
      <c r="U318" s="651"/>
      <c r="V318" s="651"/>
      <c r="W318" s="651"/>
      <c r="X318" s="651"/>
      <c r="Y318" s="652"/>
      <c r="Z318" s="636"/>
      <c r="AA318" s="636"/>
      <c r="AB318" s="636"/>
      <c r="AC318" s="636"/>
      <c r="AD318" s="560"/>
      <c r="AE318" s="560"/>
      <c r="AF318" s="560"/>
      <c r="AG318" s="560"/>
    </row>
    <row r="319" spans="1:33" ht="15.75">
      <c r="A319" s="648"/>
      <c r="B319" s="560"/>
      <c r="C319" s="649"/>
      <c r="D319" s="510"/>
      <c r="E319" s="510"/>
      <c r="F319" s="510"/>
      <c r="G319" s="510"/>
      <c r="H319" s="560"/>
      <c r="I319" s="560"/>
      <c r="J319" s="560"/>
      <c r="K319" s="560"/>
      <c r="L319" s="650"/>
      <c r="M319" s="650"/>
      <c r="N319" s="650"/>
      <c r="O319" s="650"/>
      <c r="P319" s="650"/>
      <c r="Q319" s="650"/>
      <c r="R319" s="650"/>
      <c r="S319" s="650"/>
      <c r="T319" s="651"/>
      <c r="U319" s="651"/>
      <c r="V319" s="651"/>
      <c r="W319" s="651"/>
      <c r="X319" s="651"/>
      <c r="Y319" s="652"/>
      <c r="Z319" s="636"/>
      <c r="AA319" s="636"/>
      <c r="AB319" s="636"/>
      <c r="AC319" s="636"/>
      <c r="AD319" s="560"/>
      <c r="AE319" s="560"/>
      <c r="AF319" s="560"/>
      <c r="AG319" s="560"/>
    </row>
    <row r="320" spans="1:33" ht="15.75">
      <c r="A320" s="648"/>
      <c r="B320" s="560"/>
      <c r="C320" s="649"/>
      <c r="D320" s="510"/>
      <c r="E320" s="510"/>
      <c r="F320" s="510"/>
      <c r="G320" s="510"/>
      <c r="H320" s="560"/>
      <c r="I320" s="560"/>
      <c r="J320" s="560"/>
      <c r="K320" s="560"/>
      <c r="L320" s="650"/>
      <c r="M320" s="650"/>
      <c r="N320" s="650"/>
      <c r="O320" s="650"/>
      <c r="P320" s="650"/>
      <c r="Q320" s="650"/>
      <c r="R320" s="650"/>
      <c r="S320" s="650"/>
      <c r="T320" s="651"/>
      <c r="U320" s="651"/>
      <c r="V320" s="651"/>
      <c r="W320" s="651"/>
      <c r="X320" s="651"/>
      <c r="Y320" s="652"/>
      <c r="Z320" s="636"/>
      <c r="AA320" s="636"/>
      <c r="AB320" s="636"/>
      <c r="AC320" s="636"/>
      <c r="AD320" s="560"/>
      <c r="AE320" s="560"/>
      <c r="AF320" s="560"/>
      <c r="AG320" s="560"/>
    </row>
    <row r="321" spans="1:33" ht="15.75">
      <c r="A321" s="648"/>
      <c r="B321" s="560"/>
      <c r="C321" s="649"/>
      <c r="D321" s="510"/>
      <c r="E321" s="510"/>
      <c r="F321" s="510"/>
      <c r="G321" s="510"/>
      <c r="H321" s="560"/>
      <c r="I321" s="560"/>
      <c r="J321" s="560"/>
      <c r="K321" s="560"/>
      <c r="L321" s="650"/>
      <c r="M321" s="650"/>
      <c r="N321" s="650"/>
      <c r="O321" s="650"/>
      <c r="P321" s="650"/>
      <c r="Q321" s="650"/>
      <c r="R321" s="650"/>
      <c r="S321" s="650"/>
      <c r="T321" s="651"/>
      <c r="U321" s="651"/>
      <c r="V321" s="651"/>
      <c r="W321" s="651"/>
      <c r="X321" s="651"/>
      <c r="Y321" s="652"/>
      <c r="Z321" s="636"/>
      <c r="AA321" s="636"/>
      <c r="AB321" s="636"/>
      <c r="AC321" s="636"/>
      <c r="AD321" s="560"/>
      <c r="AE321" s="560"/>
      <c r="AF321" s="560"/>
      <c r="AG321" s="560"/>
    </row>
    <row r="322" spans="1:33" ht="15.75">
      <c r="A322" s="648"/>
      <c r="B322" s="560"/>
      <c r="C322" s="649"/>
      <c r="D322" s="510"/>
      <c r="E322" s="510"/>
      <c r="F322" s="510"/>
      <c r="G322" s="510"/>
      <c r="H322" s="560"/>
      <c r="I322" s="560"/>
      <c r="J322" s="560"/>
      <c r="K322" s="560"/>
      <c r="L322" s="650"/>
      <c r="M322" s="650"/>
      <c r="N322" s="650"/>
      <c r="O322" s="650"/>
      <c r="P322" s="650"/>
      <c r="Q322" s="650"/>
      <c r="R322" s="650"/>
      <c r="S322" s="650"/>
      <c r="T322" s="651"/>
      <c r="U322" s="651"/>
      <c r="V322" s="651"/>
      <c r="W322" s="651"/>
      <c r="X322" s="651"/>
      <c r="Y322" s="652"/>
      <c r="Z322" s="636"/>
      <c r="AA322" s="636"/>
      <c r="AB322" s="636"/>
      <c r="AC322" s="636"/>
      <c r="AD322" s="560"/>
      <c r="AE322" s="560"/>
      <c r="AF322" s="560"/>
      <c r="AG322" s="560"/>
    </row>
    <row r="323" spans="1:33" ht="15.75">
      <c r="A323" s="648"/>
      <c r="B323" s="560"/>
      <c r="C323" s="649"/>
      <c r="D323" s="510"/>
      <c r="E323" s="510"/>
      <c r="F323" s="510"/>
      <c r="G323" s="510"/>
      <c r="H323" s="560"/>
      <c r="I323" s="560"/>
      <c r="J323" s="560"/>
      <c r="K323" s="560"/>
      <c r="L323" s="650"/>
      <c r="M323" s="650"/>
      <c r="N323" s="650"/>
      <c r="O323" s="650"/>
      <c r="P323" s="650"/>
      <c r="Q323" s="650"/>
      <c r="R323" s="650"/>
      <c r="S323" s="650"/>
      <c r="T323" s="651"/>
      <c r="U323" s="651"/>
      <c r="V323" s="651"/>
      <c r="W323" s="651"/>
      <c r="X323" s="651"/>
      <c r="Y323" s="652"/>
      <c r="Z323" s="636"/>
      <c r="AA323" s="636"/>
      <c r="AB323" s="636"/>
      <c r="AC323" s="636"/>
      <c r="AD323" s="560"/>
      <c r="AE323" s="560"/>
      <c r="AF323" s="560"/>
      <c r="AG323" s="560"/>
    </row>
    <row r="324" spans="1:33" ht="15.75">
      <c r="A324" s="648"/>
      <c r="B324" s="560"/>
      <c r="C324" s="649"/>
      <c r="D324" s="510"/>
      <c r="E324" s="510"/>
      <c r="F324" s="510"/>
      <c r="G324" s="510"/>
      <c r="H324" s="560"/>
      <c r="I324" s="560"/>
      <c r="J324" s="560"/>
      <c r="K324" s="560"/>
      <c r="L324" s="650"/>
      <c r="M324" s="650"/>
      <c r="N324" s="650"/>
      <c r="O324" s="650"/>
      <c r="P324" s="650"/>
      <c r="Q324" s="650"/>
      <c r="R324" s="650"/>
      <c r="S324" s="650"/>
      <c r="T324" s="651"/>
      <c r="U324" s="651"/>
      <c r="V324" s="651"/>
      <c r="W324" s="651"/>
      <c r="X324" s="651"/>
      <c r="Y324" s="652"/>
      <c r="Z324" s="636"/>
      <c r="AA324" s="636"/>
      <c r="AB324" s="636"/>
      <c r="AC324" s="636"/>
      <c r="AD324" s="560"/>
      <c r="AE324" s="560"/>
      <c r="AF324" s="560"/>
      <c r="AG324" s="560"/>
    </row>
    <row r="325" spans="1:33" ht="15.75">
      <c r="A325" s="648"/>
      <c r="B325" s="560"/>
      <c r="C325" s="649"/>
      <c r="D325" s="510"/>
      <c r="E325" s="510"/>
      <c r="F325" s="510"/>
      <c r="G325" s="510"/>
      <c r="H325" s="560"/>
      <c r="I325" s="560"/>
      <c r="J325" s="560"/>
      <c r="K325" s="560"/>
      <c r="L325" s="650"/>
      <c r="M325" s="650"/>
      <c r="N325" s="650"/>
      <c r="O325" s="650"/>
      <c r="P325" s="650"/>
      <c r="Q325" s="650"/>
      <c r="R325" s="650"/>
      <c r="S325" s="650"/>
      <c r="T325" s="651"/>
      <c r="U325" s="651"/>
      <c r="V325" s="651"/>
      <c r="W325" s="651"/>
      <c r="X325" s="651"/>
      <c r="Y325" s="652"/>
      <c r="Z325" s="636"/>
      <c r="AA325" s="636"/>
      <c r="AB325" s="636"/>
      <c r="AC325" s="636"/>
      <c r="AD325" s="560"/>
      <c r="AE325" s="560"/>
      <c r="AF325" s="560"/>
      <c r="AG325" s="560"/>
    </row>
    <row r="326" spans="1:33" ht="15.75">
      <c r="A326" s="648"/>
      <c r="B326" s="560"/>
      <c r="C326" s="649"/>
      <c r="D326" s="510"/>
      <c r="E326" s="510"/>
      <c r="F326" s="510"/>
      <c r="G326" s="510"/>
      <c r="H326" s="560"/>
      <c r="I326" s="560"/>
      <c r="J326" s="560"/>
      <c r="K326" s="560"/>
      <c r="L326" s="650"/>
      <c r="M326" s="650"/>
      <c r="N326" s="650"/>
      <c r="O326" s="650"/>
      <c r="P326" s="650"/>
      <c r="Q326" s="650"/>
      <c r="R326" s="650"/>
      <c r="S326" s="650"/>
      <c r="T326" s="651"/>
      <c r="U326" s="651"/>
      <c r="V326" s="651"/>
      <c r="W326" s="651"/>
      <c r="X326" s="651"/>
      <c r="Y326" s="652"/>
      <c r="Z326" s="636"/>
      <c r="AA326" s="636"/>
      <c r="AB326" s="636"/>
      <c r="AC326" s="636"/>
      <c r="AD326" s="560"/>
      <c r="AE326" s="560"/>
      <c r="AF326" s="560"/>
      <c r="AG326" s="560"/>
    </row>
    <row r="327" spans="1:33" ht="15.75">
      <c r="A327" s="648"/>
      <c r="B327" s="560"/>
      <c r="C327" s="649"/>
      <c r="D327" s="510"/>
      <c r="E327" s="510"/>
      <c r="F327" s="510"/>
      <c r="G327" s="510"/>
      <c r="H327" s="560"/>
      <c r="I327" s="560"/>
      <c r="J327" s="560"/>
      <c r="K327" s="560"/>
      <c r="L327" s="650"/>
      <c r="M327" s="650"/>
      <c r="N327" s="650"/>
      <c r="O327" s="650"/>
      <c r="P327" s="650"/>
      <c r="Q327" s="650"/>
      <c r="R327" s="650"/>
      <c r="S327" s="650"/>
      <c r="T327" s="651"/>
      <c r="U327" s="651"/>
      <c r="V327" s="651"/>
      <c r="W327" s="651"/>
      <c r="X327" s="651"/>
      <c r="Y327" s="652"/>
      <c r="Z327" s="636"/>
      <c r="AA327" s="636"/>
      <c r="AB327" s="636"/>
      <c r="AC327" s="636"/>
      <c r="AD327" s="560"/>
      <c r="AE327" s="560"/>
      <c r="AF327" s="560"/>
      <c r="AG327" s="560"/>
    </row>
    <row r="328" spans="1:33" ht="15.75">
      <c r="A328" s="648"/>
      <c r="B328" s="560"/>
      <c r="C328" s="649"/>
      <c r="D328" s="510"/>
      <c r="E328" s="510"/>
      <c r="F328" s="510"/>
      <c r="G328" s="510"/>
      <c r="H328" s="560"/>
      <c r="I328" s="560"/>
      <c r="J328" s="560"/>
      <c r="K328" s="560"/>
      <c r="L328" s="650"/>
      <c r="M328" s="650"/>
      <c r="N328" s="650"/>
      <c r="O328" s="650"/>
      <c r="P328" s="650"/>
      <c r="Q328" s="650"/>
      <c r="R328" s="650"/>
      <c r="S328" s="650"/>
      <c r="T328" s="651"/>
      <c r="U328" s="651"/>
      <c r="V328" s="651"/>
      <c r="W328" s="651"/>
      <c r="X328" s="651"/>
      <c r="Y328" s="652"/>
      <c r="Z328" s="636"/>
      <c r="AA328" s="636"/>
      <c r="AB328" s="636"/>
      <c r="AC328" s="636"/>
      <c r="AD328" s="560"/>
      <c r="AE328" s="560"/>
      <c r="AF328" s="560"/>
      <c r="AG328" s="560"/>
    </row>
    <row r="329" spans="1:33" ht="15.75">
      <c r="A329" s="648"/>
      <c r="B329" s="560"/>
      <c r="C329" s="649"/>
      <c r="D329" s="510"/>
      <c r="E329" s="510"/>
      <c r="F329" s="510"/>
      <c r="G329" s="510"/>
      <c r="H329" s="560"/>
      <c r="I329" s="560"/>
      <c r="J329" s="560"/>
      <c r="K329" s="560"/>
      <c r="L329" s="650"/>
      <c r="M329" s="650"/>
      <c r="N329" s="650"/>
      <c r="O329" s="650"/>
      <c r="P329" s="650"/>
      <c r="Q329" s="650"/>
      <c r="R329" s="650"/>
      <c r="S329" s="650"/>
      <c r="T329" s="651"/>
      <c r="U329" s="651"/>
      <c r="V329" s="651"/>
      <c r="W329" s="651"/>
      <c r="X329" s="651"/>
      <c r="Y329" s="652"/>
      <c r="Z329" s="636"/>
      <c r="AA329" s="636"/>
      <c r="AB329" s="636"/>
      <c r="AC329" s="636"/>
      <c r="AD329" s="560"/>
      <c r="AE329" s="560"/>
      <c r="AF329" s="560"/>
      <c r="AG329" s="560"/>
    </row>
    <row r="330" spans="1:33" ht="15.75">
      <c r="A330" s="648"/>
      <c r="B330" s="560"/>
      <c r="C330" s="649"/>
      <c r="D330" s="510"/>
      <c r="E330" s="510"/>
      <c r="F330" s="510"/>
      <c r="G330" s="510"/>
      <c r="H330" s="560"/>
      <c r="I330" s="560"/>
      <c r="J330" s="560"/>
      <c r="K330" s="560"/>
      <c r="L330" s="650"/>
      <c r="M330" s="650"/>
      <c r="N330" s="650"/>
      <c r="O330" s="650"/>
      <c r="P330" s="650"/>
      <c r="Q330" s="650"/>
      <c r="R330" s="650"/>
      <c r="S330" s="650"/>
      <c r="T330" s="651"/>
      <c r="U330" s="651"/>
      <c r="V330" s="651"/>
      <c r="W330" s="651"/>
      <c r="X330" s="651"/>
      <c r="Y330" s="652"/>
      <c r="Z330" s="636"/>
      <c r="AA330" s="636"/>
      <c r="AB330" s="636"/>
      <c r="AC330" s="636"/>
      <c r="AD330" s="560"/>
      <c r="AE330" s="560"/>
      <c r="AF330" s="560"/>
      <c r="AG330" s="560"/>
    </row>
    <row r="331" spans="1:33" ht="15.75">
      <c r="A331" s="648"/>
      <c r="B331" s="560"/>
      <c r="C331" s="649"/>
      <c r="D331" s="510"/>
      <c r="E331" s="510"/>
      <c r="F331" s="510"/>
      <c r="G331" s="510"/>
      <c r="H331" s="560"/>
      <c r="I331" s="560"/>
      <c r="J331" s="560"/>
      <c r="K331" s="560"/>
      <c r="L331" s="650"/>
      <c r="M331" s="650"/>
      <c r="N331" s="650"/>
      <c r="O331" s="650"/>
      <c r="P331" s="650"/>
      <c r="Q331" s="650"/>
      <c r="R331" s="650"/>
      <c r="S331" s="650"/>
      <c r="T331" s="651"/>
      <c r="U331" s="651"/>
      <c r="V331" s="651"/>
      <c r="W331" s="651"/>
      <c r="X331" s="651"/>
      <c r="Y331" s="652"/>
      <c r="Z331" s="636"/>
      <c r="AA331" s="636"/>
      <c r="AB331" s="636"/>
      <c r="AC331" s="636"/>
      <c r="AD331" s="560"/>
      <c r="AE331" s="560"/>
      <c r="AF331" s="560"/>
      <c r="AG331" s="560"/>
    </row>
    <row r="332" spans="1:33" ht="15.75">
      <c r="A332" s="648"/>
      <c r="B332" s="560"/>
      <c r="C332" s="649"/>
      <c r="D332" s="510"/>
      <c r="E332" s="510"/>
      <c r="F332" s="510"/>
      <c r="G332" s="510"/>
      <c r="H332" s="560"/>
      <c r="I332" s="560"/>
      <c r="J332" s="560"/>
      <c r="K332" s="560"/>
      <c r="L332" s="650"/>
      <c r="M332" s="650"/>
      <c r="N332" s="650"/>
      <c r="O332" s="650"/>
      <c r="P332" s="650"/>
      <c r="Q332" s="650"/>
      <c r="R332" s="650"/>
      <c r="S332" s="650"/>
      <c r="T332" s="651"/>
      <c r="U332" s="651"/>
      <c r="V332" s="651"/>
      <c r="W332" s="651"/>
      <c r="X332" s="651"/>
      <c r="Y332" s="652"/>
      <c r="Z332" s="636"/>
      <c r="AA332" s="636"/>
      <c r="AB332" s="636"/>
      <c r="AC332" s="636"/>
      <c r="AD332" s="560"/>
      <c r="AE332" s="560"/>
      <c r="AF332" s="560"/>
      <c r="AG332" s="560"/>
    </row>
    <row r="333" spans="1:33" ht="15.75">
      <c r="A333" s="648"/>
      <c r="B333" s="560"/>
      <c r="C333" s="649"/>
      <c r="D333" s="510"/>
      <c r="E333" s="510"/>
      <c r="F333" s="510"/>
      <c r="G333" s="510"/>
      <c r="H333" s="560"/>
      <c r="I333" s="560"/>
      <c r="J333" s="560"/>
      <c r="K333" s="560"/>
      <c r="L333" s="650"/>
      <c r="M333" s="650"/>
      <c r="N333" s="650"/>
      <c r="O333" s="650"/>
      <c r="P333" s="650"/>
      <c r="Q333" s="650"/>
      <c r="R333" s="650"/>
      <c r="S333" s="650"/>
      <c r="T333" s="651"/>
      <c r="U333" s="651"/>
      <c r="V333" s="651"/>
      <c r="W333" s="651"/>
      <c r="X333" s="651"/>
      <c r="Y333" s="652"/>
      <c r="Z333" s="636"/>
      <c r="AA333" s="636"/>
      <c r="AB333" s="636"/>
      <c r="AC333" s="636"/>
      <c r="AD333" s="560"/>
      <c r="AE333" s="560"/>
      <c r="AF333" s="560"/>
      <c r="AG333" s="560"/>
    </row>
    <row r="334" spans="1:33" ht="15.75">
      <c r="A334" s="648"/>
      <c r="B334" s="560"/>
      <c r="C334" s="649"/>
      <c r="D334" s="510"/>
      <c r="E334" s="510"/>
      <c r="F334" s="510"/>
      <c r="G334" s="510"/>
      <c r="H334" s="560"/>
      <c r="I334" s="560"/>
      <c r="J334" s="560"/>
      <c r="K334" s="560"/>
      <c r="L334" s="650"/>
      <c r="M334" s="650"/>
      <c r="N334" s="650"/>
      <c r="O334" s="650"/>
      <c r="P334" s="650"/>
      <c r="Q334" s="650"/>
      <c r="R334" s="650"/>
      <c r="S334" s="650"/>
      <c r="T334" s="651"/>
      <c r="U334" s="651"/>
      <c r="V334" s="651"/>
      <c r="W334" s="651"/>
      <c r="X334" s="651"/>
      <c r="Y334" s="652"/>
      <c r="Z334" s="636"/>
      <c r="AA334" s="636"/>
      <c r="AB334" s="636"/>
      <c r="AC334" s="636"/>
      <c r="AD334" s="560"/>
      <c r="AE334" s="560"/>
      <c r="AF334" s="560"/>
      <c r="AG334" s="560"/>
    </row>
    <row r="335" spans="1:33" ht="15.75">
      <c r="A335" s="648"/>
      <c r="B335" s="560"/>
      <c r="C335" s="649"/>
      <c r="D335" s="510"/>
      <c r="E335" s="510"/>
      <c r="F335" s="510"/>
      <c r="G335" s="510"/>
      <c r="H335" s="560"/>
      <c r="I335" s="560"/>
      <c r="J335" s="560"/>
      <c r="K335" s="560"/>
      <c r="L335" s="650"/>
      <c r="M335" s="650"/>
      <c r="N335" s="650"/>
      <c r="O335" s="650"/>
      <c r="P335" s="650"/>
      <c r="Q335" s="650"/>
      <c r="R335" s="650"/>
      <c r="S335" s="650"/>
      <c r="T335" s="651"/>
      <c r="U335" s="651"/>
      <c r="V335" s="651"/>
      <c r="W335" s="651"/>
      <c r="X335" s="651"/>
      <c r="Y335" s="652"/>
      <c r="Z335" s="636"/>
      <c r="AA335" s="636"/>
      <c r="AB335" s="636"/>
      <c r="AC335" s="636"/>
      <c r="AD335" s="560"/>
      <c r="AE335" s="560"/>
      <c r="AF335" s="560"/>
      <c r="AG335" s="560"/>
    </row>
    <row r="336" spans="1:33" ht="15.75">
      <c r="A336" s="648"/>
      <c r="B336" s="560"/>
      <c r="C336" s="649"/>
      <c r="D336" s="510"/>
      <c r="E336" s="510"/>
      <c r="F336" s="510"/>
      <c r="G336" s="510"/>
      <c r="H336" s="560"/>
      <c r="I336" s="560"/>
      <c r="J336" s="560"/>
      <c r="K336" s="560"/>
      <c r="L336" s="650"/>
      <c r="M336" s="650"/>
      <c r="N336" s="650"/>
      <c r="O336" s="650"/>
      <c r="P336" s="650"/>
      <c r="Q336" s="650"/>
      <c r="R336" s="650"/>
      <c r="S336" s="650"/>
      <c r="T336" s="651"/>
      <c r="U336" s="651"/>
      <c r="V336" s="651"/>
      <c r="W336" s="651"/>
      <c r="X336" s="651"/>
      <c r="Y336" s="652"/>
      <c r="Z336" s="636"/>
      <c r="AA336" s="636"/>
      <c r="AB336" s="636"/>
      <c r="AC336" s="636"/>
      <c r="AD336" s="560"/>
      <c r="AE336" s="560"/>
      <c r="AF336" s="560"/>
      <c r="AG336" s="560"/>
    </row>
    <row r="337" spans="1:33" ht="15.75">
      <c r="A337" s="648"/>
      <c r="B337" s="560"/>
      <c r="C337" s="649"/>
      <c r="D337" s="510"/>
      <c r="E337" s="510"/>
      <c r="F337" s="510"/>
      <c r="G337" s="510"/>
      <c r="H337" s="560"/>
      <c r="I337" s="560"/>
      <c r="J337" s="560"/>
      <c r="K337" s="560"/>
      <c r="L337" s="650"/>
      <c r="M337" s="650"/>
      <c r="N337" s="650"/>
      <c r="O337" s="650"/>
      <c r="P337" s="650"/>
      <c r="Q337" s="650"/>
      <c r="R337" s="650"/>
      <c r="S337" s="650"/>
      <c r="T337" s="651"/>
      <c r="U337" s="651"/>
      <c r="V337" s="651"/>
      <c r="W337" s="651"/>
      <c r="X337" s="651"/>
      <c r="Y337" s="652"/>
      <c r="Z337" s="636"/>
      <c r="AA337" s="636"/>
      <c r="AB337" s="636"/>
      <c r="AC337" s="636"/>
      <c r="AD337" s="560"/>
      <c r="AE337" s="560"/>
      <c r="AF337" s="560"/>
      <c r="AG337" s="560"/>
    </row>
    <row r="338" spans="1:33" ht="15.75">
      <c r="A338" s="648"/>
      <c r="B338" s="560"/>
      <c r="C338" s="649"/>
      <c r="D338" s="510"/>
      <c r="E338" s="510"/>
      <c r="F338" s="510"/>
      <c r="G338" s="510"/>
      <c r="H338" s="560"/>
      <c r="I338" s="560"/>
      <c r="J338" s="560"/>
      <c r="K338" s="560"/>
      <c r="L338" s="650"/>
      <c r="M338" s="650"/>
      <c r="N338" s="650"/>
      <c r="O338" s="650"/>
      <c r="P338" s="650"/>
      <c r="Q338" s="650"/>
      <c r="R338" s="650"/>
      <c r="S338" s="650"/>
      <c r="T338" s="651"/>
      <c r="U338" s="651"/>
      <c r="V338" s="651"/>
      <c r="W338" s="651"/>
      <c r="X338" s="651"/>
      <c r="Y338" s="652"/>
      <c r="Z338" s="636"/>
      <c r="AA338" s="636"/>
      <c r="AB338" s="636"/>
      <c r="AC338" s="636"/>
      <c r="AD338" s="560"/>
      <c r="AE338" s="560"/>
      <c r="AF338" s="560"/>
      <c r="AG338" s="560"/>
    </row>
    <row r="339" spans="1:33" ht="15.75">
      <c r="A339" s="648"/>
      <c r="B339" s="560"/>
      <c r="C339" s="649"/>
      <c r="D339" s="510"/>
      <c r="E339" s="510"/>
      <c r="F339" s="510"/>
      <c r="G339" s="510"/>
      <c r="H339" s="560"/>
      <c r="I339" s="560"/>
      <c r="J339" s="560"/>
      <c r="K339" s="560"/>
      <c r="L339" s="650"/>
      <c r="M339" s="650"/>
      <c r="N339" s="650"/>
      <c r="O339" s="650"/>
      <c r="P339" s="650"/>
      <c r="Q339" s="650"/>
      <c r="R339" s="650"/>
      <c r="S339" s="650"/>
      <c r="T339" s="651"/>
      <c r="U339" s="651"/>
      <c r="V339" s="651"/>
      <c r="W339" s="651"/>
      <c r="X339" s="651"/>
      <c r="Y339" s="652"/>
      <c r="Z339" s="636"/>
      <c r="AA339" s="636"/>
      <c r="AB339" s="636"/>
      <c r="AC339" s="636"/>
      <c r="AD339" s="560"/>
      <c r="AE339" s="560"/>
      <c r="AF339" s="560"/>
      <c r="AG339" s="560"/>
    </row>
    <row r="340" spans="1:33" ht="15.75">
      <c r="A340" s="648"/>
      <c r="B340" s="560"/>
      <c r="C340" s="649"/>
      <c r="D340" s="510"/>
      <c r="E340" s="510"/>
      <c r="F340" s="510"/>
      <c r="G340" s="510"/>
      <c r="H340" s="560"/>
      <c r="I340" s="560"/>
      <c r="J340" s="560"/>
      <c r="K340" s="560"/>
      <c r="L340" s="650"/>
      <c r="M340" s="650"/>
      <c r="N340" s="650"/>
      <c r="O340" s="650"/>
      <c r="P340" s="650"/>
      <c r="Q340" s="650"/>
      <c r="R340" s="650"/>
      <c r="S340" s="650"/>
      <c r="T340" s="651"/>
      <c r="U340" s="651"/>
      <c r="V340" s="651"/>
      <c r="W340" s="651"/>
      <c r="X340" s="651"/>
      <c r="Y340" s="652"/>
      <c r="Z340" s="636"/>
      <c r="AA340" s="636"/>
      <c r="AB340" s="636"/>
      <c r="AC340" s="636"/>
      <c r="AD340" s="560"/>
      <c r="AE340" s="560"/>
      <c r="AF340" s="560"/>
      <c r="AG340" s="560"/>
    </row>
    <row r="341" spans="1:33" ht="15.75">
      <c r="A341" s="648"/>
      <c r="B341" s="560"/>
      <c r="C341" s="649"/>
      <c r="D341" s="510"/>
      <c r="E341" s="510"/>
      <c r="F341" s="510"/>
      <c r="G341" s="510"/>
      <c r="H341" s="560"/>
      <c r="I341" s="560"/>
      <c r="J341" s="560"/>
      <c r="K341" s="560"/>
      <c r="L341" s="650"/>
      <c r="M341" s="650"/>
      <c r="N341" s="650"/>
      <c r="O341" s="650"/>
      <c r="P341" s="650"/>
      <c r="Q341" s="650"/>
      <c r="R341" s="650"/>
      <c r="S341" s="650"/>
      <c r="T341" s="651"/>
      <c r="U341" s="651"/>
      <c r="V341" s="651"/>
      <c r="W341" s="651"/>
      <c r="X341" s="651"/>
      <c r="Y341" s="652"/>
      <c r="Z341" s="636"/>
      <c r="AA341" s="636"/>
      <c r="AB341" s="636"/>
      <c r="AC341" s="636"/>
      <c r="AD341" s="560"/>
      <c r="AE341" s="560"/>
      <c r="AF341" s="560"/>
      <c r="AG341" s="560"/>
    </row>
    <row r="342" spans="1:33" ht="15.75">
      <c r="A342" s="648"/>
      <c r="B342" s="560"/>
      <c r="C342" s="649"/>
      <c r="D342" s="510"/>
      <c r="E342" s="510"/>
      <c r="F342" s="510"/>
      <c r="G342" s="510"/>
      <c r="H342" s="560"/>
      <c r="I342" s="560"/>
      <c r="J342" s="560"/>
      <c r="K342" s="560"/>
      <c r="L342" s="650"/>
      <c r="M342" s="650"/>
      <c r="N342" s="650"/>
      <c r="O342" s="650"/>
      <c r="P342" s="650"/>
      <c r="Q342" s="650"/>
      <c r="R342" s="650"/>
      <c r="S342" s="650"/>
      <c r="T342" s="651"/>
      <c r="U342" s="651"/>
      <c r="V342" s="651"/>
      <c r="W342" s="651"/>
      <c r="X342" s="651"/>
      <c r="Y342" s="652"/>
      <c r="Z342" s="636"/>
      <c r="AA342" s="636"/>
      <c r="AB342" s="636"/>
      <c r="AC342" s="636"/>
      <c r="AD342" s="560"/>
      <c r="AE342" s="560"/>
      <c r="AF342" s="560"/>
      <c r="AG342" s="560"/>
    </row>
    <row r="343" spans="1:33" ht="15.75">
      <c r="A343" s="648"/>
      <c r="B343" s="560"/>
      <c r="C343" s="649"/>
      <c r="D343" s="510"/>
      <c r="E343" s="510"/>
      <c r="F343" s="510"/>
      <c r="G343" s="510"/>
      <c r="H343" s="560"/>
      <c r="I343" s="560"/>
      <c r="J343" s="560"/>
      <c r="K343" s="560"/>
      <c r="L343" s="650"/>
      <c r="M343" s="650"/>
      <c r="N343" s="650"/>
      <c r="O343" s="650"/>
      <c r="P343" s="650"/>
      <c r="Q343" s="650"/>
      <c r="R343" s="650"/>
      <c r="S343" s="650"/>
      <c r="T343" s="651"/>
      <c r="U343" s="651"/>
      <c r="V343" s="651"/>
      <c r="W343" s="651"/>
      <c r="X343" s="651"/>
      <c r="Y343" s="652"/>
      <c r="Z343" s="636"/>
      <c r="AA343" s="636"/>
      <c r="AB343" s="636"/>
      <c r="AC343" s="636"/>
      <c r="AD343" s="560"/>
      <c r="AE343" s="560"/>
      <c r="AF343" s="560"/>
      <c r="AG343" s="560"/>
    </row>
    <row r="344" spans="1:33" ht="15.75">
      <c r="A344" s="648"/>
      <c r="B344" s="560"/>
      <c r="C344" s="649"/>
      <c r="D344" s="510"/>
      <c r="E344" s="510"/>
      <c r="F344" s="510"/>
      <c r="G344" s="510"/>
      <c r="H344" s="560"/>
      <c r="I344" s="560"/>
      <c r="J344" s="560"/>
      <c r="K344" s="560"/>
      <c r="L344" s="650"/>
      <c r="M344" s="650"/>
      <c r="N344" s="650"/>
      <c r="O344" s="650"/>
      <c r="P344" s="650"/>
      <c r="Q344" s="650"/>
      <c r="R344" s="650"/>
      <c r="S344" s="650"/>
      <c r="T344" s="651"/>
      <c r="U344" s="651"/>
      <c r="V344" s="651"/>
      <c r="W344" s="651"/>
      <c r="X344" s="651"/>
      <c r="Y344" s="652"/>
      <c r="Z344" s="636"/>
      <c r="AA344" s="636"/>
      <c r="AB344" s="636"/>
      <c r="AC344" s="636"/>
      <c r="AD344" s="560"/>
      <c r="AE344" s="560"/>
      <c r="AF344" s="560"/>
      <c r="AG344" s="560"/>
    </row>
    <row r="345" spans="1:33" ht="15.75">
      <c r="A345" s="648"/>
      <c r="B345" s="560"/>
      <c r="C345" s="649"/>
      <c r="D345" s="510"/>
      <c r="E345" s="510"/>
      <c r="F345" s="510"/>
      <c r="G345" s="510"/>
      <c r="H345" s="560"/>
      <c r="I345" s="560"/>
      <c r="J345" s="560"/>
      <c r="K345" s="560"/>
      <c r="L345" s="650"/>
      <c r="M345" s="650"/>
      <c r="N345" s="650"/>
      <c r="O345" s="650"/>
      <c r="P345" s="650"/>
      <c r="Q345" s="650"/>
      <c r="R345" s="650"/>
      <c r="S345" s="650"/>
      <c r="T345" s="651"/>
      <c r="U345" s="651"/>
      <c r="V345" s="651"/>
      <c r="W345" s="651"/>
      <c r="X345" s="651"/>
      <c r="Y345" s="652"/>
      <c r="Z345" s="636"/>
      <c r="AA345" s="636"/>
      <c r="AB345" s="636"/>
      <c r="AC345" s="636"/>
      <c r="AD345" s="560"/>
      <c r="AE345" s="560"/>
      <c r="AF345" s="560"/>
      <c r="AG345" s="560"/>
    </row>
    <row r="346" spans="1:33" ht="15.75">
      <c r="A346" s="648"/>
      <c r="B346" s="560"/>
      <c r="C346" s="649"/>
      <c r="D346" s="510"/>
      <c r="E346" s="510"/>
      <c r="F346" s="510"/>
      <c r="G346" s="510"/>
      <c r="H346" s="560"/>
      <c r="I346" s="560"/>
      <c r="J346" s="560"/>
      <c r="K346" s="560"/>
      <c r="L346" s="650"/>
      <c r="M346" s="650"/>
      <c r="N346" s="650"/>
      <c r="O346" s="650"/>
      <c r="P346" s="650"/>
      <c r="Q346" s="650"/>
      <c r="R346" s="650"/>
      <c r="S346" s="650"/>
      <c r="T346" s="651"/>
      <c r="U346" s="651"/>
      <c r="V346" s="651"/>
      <c r="W346" s="651"/>
      <c r="X346" s="651"/>
      <c r="Y346" s="652"/>
      <c r="Z346" s="636"/>
      <c r="AA346" s="636"/>
      <c r="AB346" s="636"/>
      <c r="AC346" s="636"/>
      <c r="AD346" s="560"/>
      <c r="AE346" s="560"/>
      <c r="AF346" s="560"/>
      <c r="AG346" s="560"/>
    </row>
    <row r="347" spans="1:33" ht="15.75">
      <c r="A347" s="648"/>
      <c r="B347" s="560"/>
      <c r="C347" s="649"/>
      <c r="D347" s="510"/>
      <c r="E347" s="510"/>
      <c r="F347" s="510"/>
      <c r="G347" s="510"/>
      <c r="H347" s="560"/>
      <c r="I347" s="560"/>
      <c r="J347" s="560"/>
      <c r="K347" s="560"/>
      <c r="L347" s="650"/>
      <c r="M347" s="650"/>
      <c r="N347" s="650"/>
      <c r="O347" s="650"/>
      <c r="P347" s="650"/>
      <c r="Q347" s="650"/>
      <c r="R347" s="650"/>
      <c r="S347" s="650"/>
      <c r="T347" s="651"/>
      <c r="U347" s="651"/>
      <c r="V347" s="651"/>
      <c r="W347" s="651"/>
      <c r="X347" s="651"/>
      <c r="Y347" s="652"/>
      <c r="Z347" s="636"/>
      <c r="AA347" s="636"/>
      <c r="AB347" s="636"/>
      <c r="AC347" s="636"/>
      <c r="AD347" s="560"/>
      <c r="AE347" s="560"/>
      <c r="AF347" s="560"/>
      <c r="AG347" s="560"/>
    </row>
    <row r="348" spans="1:33" ht="15.75">
      <c r="A348" s="648"/>
      <c r="B348" s="560"/>
      <c r="C348" s="649"/>
      <c r="D348" s="510"/>
      <c r="E348" s="510"/>
      <c r="F348" s="510"/>
      <c r="G348" s="510"/>
      <c r="H348" s="560"/>
      <c r="I348" s="560"/>
      <c r="J348" s="560"/>
      <c r="K348" s="560"/>
      <c r="L348" s="650"/>
      <c r="M348" s="650"/>
      <c r="N348" s="650"/>
      <c r="O348" s="650"/>
      <c r="P348" s="650"/>
      <c r="Q348" s="650"/>
      <c r="R348" s="650"/>
      <c r="S348" s="650"/>
      <c r="T348" s="651"/>
      <c r="U348" s="651"/>
      <c r="V348" s="651"/>
      <c r="W348" s="651"/>
      <c r="X348" s="651"/>
      <c r="Y348" s="652"/>
      <c r="Z348" s="636"/>
      <c r="AA348" s="636"/>
      <c r="AB348" s="636"/>
      <c r="AC348" s="636"/>
      <c r="AD348" s="560"/>
      <c r="AE348" s="560"/>
      <c r="AF348" s="560"/>
      <c r="AG348" s="560"/>
    </row>
    <row r="349" spans="1:33" ht="15.75">
      <c r="A349" s="648"/>
      <c r="B349" s="560"/>
      <c r="C349" s="649"/>
      <c r="D349" s="510"/>
      <c r="E349" s="510"/>
      <c r="F349" s="510"/>
      <c r="G349" s="510"/>
      <c r="H349" s="560"/>
      <c r="I349" s="560"/>
      <c r="J349" s="560"/>
      <c r="K349" s="560"/>
      <c r="L349" s="650"/>
      <c r="M349" s="650"/>
      <c r="N349" s="650"/>
      <c r="O349" s="650"/>
      <c r="P349" s="650"/>
      <c r="Q349" s="650"/>
      <c r="R349" s="650"/>
      <c r="S349" s="650"/>
      <c r="T349" s="651"/>
      <c r="U349" s="651"/>
      <c r="V349" s="651"/>
      <c r="W349" s="651"/>
      <c r="X349" s="651"/>
      <c r="Y349" s="652"/>
      <c r="Z349" s="636"/>
      <c r="AA349" s="636"/>
      <c r="AB349" s="636"/>
      <c r="AC349" s="636"/>
      <c r="AD349" s="560"/>
      <c r="AE349" s="560"/>
      <c r="AF349" s="560"/>
      <c r="AG349" s="560"/>
    </row>
    <row r="350" spans="1:33" ht="15.75">
      <c r="A350" s="648"/>
      <c r="B350" s="560"/>
      <c r="C350" s="649"/>
      <c r="D350" s="510"/>
      <c r="E350" s="510"/>
      <c r="F350" s="510"/>
      <c r="G350" s="510"/>
      <c r="H350" s="560"/>
      <c r="I350" s="560"/>
      <c r="J350" s="560"/>
      <c r="K350" s="560"/>
      <c r="L350" s="650"/>
      <c r="M350" s="650"/>
      <c r="N350" s="650"/>
      <c r="O350" s="650"/>
      <c r="P350" s="650"/>
      <c r="Q350" s="650"/>
      <c r="R350" s="650"/>
      <c r="S350" s="650"/>
      <c r="T350" s="651"/>
      <c r="U350" s="651"/>
      <c r="V350" s="651"/>
      <c r="W350" s="651"/>
      <c r="X350" s="651"/>
      <c r="Y350" s="652"/>
      <c r="Z350" s="636"/>
      <c r="AA350" s="636"/>
      <c r="AB350" s="636"/>
      <c r="AC350" s="636"/>
      <c r="AD350" s="560"/>
      <c r="AE350" s="560"/>
      <c r="AF350" s="560"/>
      <c r="AG350" s="560"/>
    </row>
    <row r="351" spans="1:33" ht="15.75">
      <c r="A351" s="648"/>
      <c r="B351" s="560"/>
      <c r="C351" s="649"/>
      <c r="D351" s="510"/>
      <c r="E351" s="510"/>
      <c r="F351" s="510"/>
      <c r="G351" s="510"/>
      <c r="H351" s="560"/>
      <c r="I351" s="560"/>
      <c r="J351" s="560"/>
      <c r="K351" s="560"/>
      <c r="L351" s="650"/>
      <c r="M351" s="650"/>
      <c r="N351" s="650"/>
      <c r="O351" s="650"/>
      <c r="P351" s="650"/>
      <c r="Q351" s="650"/>
      <c r="R351" s="650"/>
      <c r="S351" s="650"/>
      <c r="T351" s="651"/>
      <c r="U351" s="651"/>
      <c r="V351" s="651"/>
      <c r="W351" s="651"/>
      <c r="X351" s="651"/>
      <c r="Y351" s="652"/>
      <c r="Z351" s="636"/>
      <c r="AA351" s="636"/>
      <c r="AB351" s="636"/>
      <c r="AC351" s="636"/>
      <c r="AD351" s="560"/>
      <c r="AE351" s="560"/>
      <c r="AF351" s="560"/>
      <c r="AG351" s="560"/>
    </row>
    <row r="352" spans="1:33" ht="15.75">
      <c r="A352" s="648"/>
      <c r="B352" s="560"/>
      <c r="C352" s="649"/>
      <c r="D352" s="510"/>
      <c r="E352" s="510"/>
      <c r="F352" s="510"/>
      <c r="G352" s="510"/>
      <c r="H352" s="560"/>
      <c r="I352" s="560"/>
      <c r="J352" s="560"/>
      <c r="K352" s="560"/>
      <c r="L352" s="650"/>
      <c r="M352" s="650"/>
      <c r="N352" s="650"/>
      <c r="O352" s="650"/>
      <c r="P352" s="650"/>
      <c r="Q352" s="650"/>
      <c r="R352" s="650"/>
      <c r="S352" s="650"/>
      <c r="T352" s="651"/>
      <c r="U352" s="651"/>
      <c r="V352" s="651"/>
      <c r="W352" s="651"/>
      <c r="X352" s="651"/>
      <c r="Y352" s="652"/>
      <c r="Z352" s="636"/>
      <c r="AA352" s="636"/>
      <c r="AB352" s="636"/>
      <c r="AC352" s="636"/>
      <c r="AD352" s="560"/>
      <c r="AE352" s="560"/>
      <c r="AF352" s="560"/>
      <c r="AG352" s="560"/>
    </row>
    <row r="353" spans="1:33" ht="15.75">
      <c r="A353" s="648"/>
      <c r="B353" s="560"/>
      <c r="C353" s="649"/>
      <c r="D353" s="510"/>
      <c r="E353" s="510"/>
      <c r="F353" s="510"/>
      <c r="G353" s="510"/>
      <c r="H353" s="560"/>
      <c r="I353" s="560"/>
      <c r="J353" s="560"/>
      <c r="K353" s="560"/>
      <c r="L353" s="650"/>
      <c r="M353" s="650"/>
      <c r="N353" s="650"/>
      <c r="O353" s="650"/>
      <c r="P353" s="650"/>
      <c r="Q353" s="650"/>
      <c r="R353" s="650"/>
      <c r="S353" s="650"/>
      <c r="T353" s="651"/>
      <c r="U353" s="651"/>
      <c r="V353" s="651"/>
      <c r="W353" s="651"/>
      <c r="X353" s="651"/>
      <c r="Y353" s="652"/>
      <c r="Z353" s="636"/>
      <c r="AA353" s="636"/>
      <c r="AB353" s="636"/>
      <c r="AC353" s="636"/>
      <c r="AD353" s="560"/>
      <c r="AE353" s="560"/>
      <c r="AF353" s="560"/>
      <c r="AG353" s="560"/>
    </row>
    <row r="354" spans="1:33" ht="15.75">
      <c r="A354" s="648"/>
      <c r="B354" s="560"/>
      <c r="C354" s="649"/>
      <c r="D354" s="510"/>
      <c r="E354" s="510"/>
      <c r="F354" s="510"/>
      <c r="G354" s="510"/>
      <c r="H354" s="560"/>
      <c r="I354" s="560"/>
      <c r="J354" s="560"/>
      <c r="K354" s="560"/>
      <c r="L354" s="650"/>
      <c r="M354" s="650"/>
      <c r="N354" s="650"/>
      <c r="O354" s="650"/>
      <c r="P354" s="650"/>
      <c r="Q354" s="650"/>
      <c r="R354" s="650"/>
      <c r="S354" s="650"/>
      <c r="T354" s="651"/>
      <c r="U354" s="651"/>
      <c r="V354" s="651"/>
      <c r="W354" s="651"/>
      <c r="X354" s="651"/>
      <c r="Y354" s="652"/>
      <c r="Z354" s="636"/>
      <c r="AA354" s="636"/>
      <c r="AB354" s="636"/>
      <c r="AC354" s="636"/>
      <c r="AD354" s="560"/>
      <c r="AE354" s="560"/>
      <c r="AF354" s="560"/>
      <c r="AG354" s="560"/>
    </row>
    <row r="355" spans="1:33" ht="15.75">
      <c r="A355" s="648"/>
      <c r="B355" s="560"/>
      <c r="C355" s="649"/>
      <c r="D355" s="510"/>
      <c r="E355" s="510"/>
      <c r="F355" s="510"/>
      <c r="G355" s="510"/>
      <c r="H355" s="560"/>
      <c r="I355" s="560"/>
      <c r="J355" s="560"/>
      <c r="K355" s="560"/>
      <c r="L355" s="650"/>
      <c r="M355" s="650"/>
      <c r="N355" s="650"/>
      <c r="O355" s="650"/>
      <c r="P355" s="650"/>
      <c r="Q355" s="650"/>
      <c r="R355" s="650"/>
      <c r="S355" s="650"/>
      <c r="T355" s="651"/>
      <c r="U355" s="651"/>
      <c r="V355" s="651"/>
      <c r="W355" s="651"/>
      <c r="X355" s="651"/>
      <c r="Y355" s="652"/>
      <c r="Z355" s="636"/>
      <c r="AA355" s="636"/>
      <c r="AB355" s="636"/>
      <c r="AC355" s="636"/>
      <c r="AD355" s="560"/>
      <c r="AE355" s="560"/>
      <c r="AF355" s="560"/>
      <c r="AG355" s="560"/>
    </row>
    <row r="356" spans="1:33" ht="15.75">
      <c r="A356" s="648"/>
      <c r="B356" s="560"/>
      <c r="C356" s="649"/>
      <c r="D356" s="510"/>
      <c r="E356" s="510"/>
      <c r="F356" s="510"/>
      <c r="G356" s="510"/>
      <c r="H356" s="560"/>
      <c r="I356" s="560"/>
      <c r="J356" s="560"/>
      <c r="K356" s="560"/>
      <c r="L356" s="650"/>
      <c r="M356" s="650"/>
      <c r="N356" s="650"/>
      <c r="O356" s="650"/>
      <c r="P356" s="650"/>
      <c r="Q356" s="650"/>
      <c r="R356" s="650"/>
      <c r="S356" s="650"/>
      <c r="T356" s="651"/>
      <c r="U356" s="651"/>
      <c r="V356" s="651"/>
      <c r="W356" s="651"/>
      <c r="X356" s="651"/>
      <c r="Y356" s="652"/>
      <c r="Z356" s="636"/>
      <c r="AA356" s="636"/>
      <c r="AB356" s="636"/>
      <c r="AC356" s="636"/>
      <c r="AD356" s="560"/>
      <c r="AE356" s="560"/>
      <c r="AF356" s="560"/>
      <c r="AG356" s="560"/>
    </row>
    <row r="357" spans="1:33" ht="15.75">
      <c r="A357" s="648"/>
      <c r="B357" s="560"/>
      <c r="C357" s="649"/>
      <c r="D357" s="510"/>
      <c r="E357" s="510"/>
      <c r="F357" s="510"/>
      <c r="G357" s="510"/>
      <c r="H357" s="560"/>
      <c r="I357" s="560"/>
      <c r="J357" s="560"/>
      <c r="K357" s="560"/>
      <c r="L357" s="650"/>
      <c r="M357" s="650"/>
      <c r="N357" s="650"/>
      <c r="O357" s="650"/>
      <c r="P357" s="650"/>
      <c r="Q357" s="650"/>
      <c r="R357" s="650"/>
      <c r="S357" s="650"/>
      <c r="T357" s="651"/>
      <c r="U357" s="651"/>
      <c r="V357" s="651"/>
      <c r="W357" s="651"/>
      <c r="X357" s="651"/>
      <c r="Y357" s="652"/>
      <c r="Z357" s="636"/>
      <c r="AA357" s="636"/>
      <c r="AB357" s="636"/>
      <c r="AC357" s="636"/>
      <c r="AD357" s="560"/>
      <c r="AE357" s="560"/>
      <c r="AF357" s="560"/>
      <c r="AG357" s="560"/>
    </row>
    <row r="358" spans="1:33" ht="15.75">
      <c r="A358" s="648"/>
      <c r="B358" s="560"/>
      <c r="C358" s="649"/>
      <c r="D358" s="510"/>
      <c r="E358" s="510"/>
      <c r="F358" s="510"/>
      <c r="G358" s="510"/>
      <c r="H358" s="560"/>
      <c r="I358" s="560"/>
      <c r="J358" s="560"/>
      <c r="K358" s="560"/>
      <c r="L358" s="650"/>
      <c r="M358" s="650"/>
      <c r="N358" s="650"/>
      <c r="O358" s="650"/>
      <c r="P358" s="650"/>
      <c r="Q358" s="650"/>
      <c r="R358" s="650"/>
      <c r="S358" s="650"/>
      <c r="T358" s="651"/>
      <c r="U358" s="651"/>
      <c r="V358" s="651"/>
      <c r="W358" s="651"/>
      <c r="X358" s="651"/>
      <c r="Y358" s="652"/>
      <c r="Z358" s="636"/>
      <c r="AA358" s="636"/>
      <c r="AB358" s="636"/>
      <c r="AC358" s="636"/>
      <c r="AD358" s="560"/>
      <c r="AE358" s="560"/>
      <c r="AF358" s="560"/>
      <c r="AG358" s="560"/>
    </row>
    <row r="359" spans="1:33" ht="15.75">
      <c r="A359" s="648"/>
      <c r="B359" s="560"/>
      <c r="C359" s="649"/>
      <c r="D359" s="510"/>
      <c r="E359" s="510"/>
      <c r="F359" s="510"/>
      <c r="G359" s="510"/>
      <c r="H359" s="560"/>
      <c r="I359" s="560"/>
      <c r="J359" s="560"/>
      <c r="K359" s="560"/>
      <c r="L359" s="650"/>
      <c r="M359" s="650"/>
      <c r="N359" s="650"/>
      <c r="O359" s="650"/>
      <c r="P359" s="650"/>
      <c r="Q359" s="650"/>
      <c r="R359" s="650"/>
      <c r="S359" s="650"/>
      <c r="T359" s="651"/>
      <c r="U359" s="651"/>
      <c r="V359" s="651"/>
      <c r="W359" s="651"/>
      <c r="X359" s="651"/>
      <c r="Y359" s="652"/>
      <c r="Z359" s="636"/>
      <c r="AA359" s="636"/>
      <c r="AB359" s="636"/>
      <c r="AC359" s="636"/>
      <c r="AD359" s="560"/>
      <c r="AE359" s="560"/>
      <c r="AF359" s="560"/>
      <c r="AG359" s="560"/>
    </row>
    <row r="360" spans="1:33" ht="15.75">
      <c r="A360" s="648"/>
      <c r="B360" s="560"/>
      <c r="C360" s="649"/>
      <c r="D360" s="510"/>
      <c r="E360" s="510"/>
      <c r="F360" s="510"/>
      <c r="G360" s="510"/>
      <c r="H360" s="560"/>
      <c r="I360" s="560"/>
      <c r="J360" s="560"/>
      <c r="K360" s="560"/>
      <c r="L360" s="650"/>
      <c r="M360" s="650"/>
      <c r="N360" s="650"/>
      <c r="O360" s="650"/>
      <c r="P360" s="650"/>
      <c r="Q360" s="650"/>
      <c r="R360" s="650"/>
      <c r="S360" s="650"/>
      <c r="T360" s="651"/>
      <c r="U360" s="651"/>
      <c r="V360" s="651"/>
      <c r="W360" s="651"/>
      <c r="X360" s="651"/>
      <c r="Y360" s="652"/>
      <c r="Z360" s="636"/>
      <c r="AA360" s="636"/>
      <c r="AB360" s="636"/>
      <c r="AC360" s="636"/>
      <c r="AD360" s="560"/>
      <c r="AE360" s="560"/>
      <c r="AF360" s="560"/>
      <c r="AG360" s="560"/>
    </row>
    <row r="361" spans="1:33" ht="15.75">
      <c r="A361" s="648"/>
      <c r="B361" s="560"/>
      <c r="C361" s="649"/>
      <c r="D361" s="510"/>
      <c r="E361" s="510"/>
      <c r="F361" s="510"/>
      <c r="G361" s="510"/>
      <c r="H361" s="560"/>
      <c r="I361" s="560"/>
      <c r="J361" s="560"/>
      <c r="K361" s="560"/>
      <c r="L361" s="650"/>
      <c r="M361" s="650"/>
      <c r="N361" s="650"/>
      <c r="O361" s="650"/>
      <c r="P361" s="650"/>
      <c r="Q361" s="650"/>
      <c r="R361" s="650"/>
      <c r="S361" s="650"/>
      <c r="T361" s="651"/>
      <c r="U361" s="651"/>
      <c r="V361" s="651"/>
      <c r="W361" s="651"/>
      <c r="X361" s="651"/>
      <c r="Y361" s="652"/>
      <c r="Z361" s="636"/>
      <c r="AA361" s="636"/>
      <c r="AB361" s="636"/>
      <c r="AC361" s="636"/>
      <c r="AD361" s="560"/>
      <c r="AE361" s="560"/>
      <c r="AF361" s="560"/>
      <c r="AG361" s="560"/>
    </row>
    <row r="362" spans="1:33" ht="15.75">
      <c r="A362" s="648"/>
      <c r="B362" s="560"/>
      <c r="C362" s="649"/>
      <c r="D362" s="510"/>
      <c r="E362" s="510"/>
      <c r="F362" s="510"/>
      <c r="G362" s="510"/>
      <c r="H362" s="560"/>
      <c r="I362" s="560"/>
      <c r="J362" s="560"/>
      <c r="K362" s="560"/>
      <c r="L362" s="650"/>
      <c r="M362" s="650"/>
      <c r="N362" s="650"/>
      <c r="O362" s="650"/>
      <c r="P362" s="650"/>
      <c r="Q362" s="650"/>
      <c r="R362" s="650"/>
      <c r="S362" s="650"/>
      <c r="T362" s="651"/>
      <c r="U362" s="651"/>
      <c r="V362" s="651"/>
      <c r="W362" s="651"/>
      <c r="X362" s="651"/>
      <c r="Y362" s="652"/>
      <c r="Z362" s="636"/>
      <c r="AA362" s="636"/>
      <c r="AB362" s="636"/>
      <c r="AC362" s="636"/>
      <c r="AD362" s="560"/>
      <c r="AE362" s="560"/>
      <c r="AF362" s="560"/>
      <c r="AG362" s="560"/>
    </row>
    <row r="363" spans="1:33" ht="15.75">
      <c r="A363" s="648"/>
      <c r="B363" s="560"/>
      <c r="C363" s="649"/>
      <c r="D363" s="510"/>
      <c r="E363" s="510"/>
      <c r="F363" s="510"/>
      <c r="G363" s="510"/>
      <c r="H363" s="560"/>
      <c r="I363" s="560"/>
      <c r="J363" s="560"/>
      <c r="K363" s="560"/>
      <c r="L363" s="650"/>
      <c r="M363" s="650"/>
      <c r="N363" s="650"/>
      <c r="O363" s="650"/>
      <c r="P363" s="650"/>
      <c r="Q363" s="650"/>
      <c r="R363" s="650"/>
      <c r="S363" s="650"/>
      <c r="T363" s="651"/>
      <c r="U363" s="651"/>
      <c r="V363" s="651"/>
      <c r="W363" s="651"/>
      <c r="X363" s="651"/>
      <c r="Y363" s="652"/>
      <c r="Z363" s="636"/>
      <c r="AA363" s="636"/>
      <c r="AB363" s="636"/>
      <c r="AC363" s="636"/>
      <c r="AD363" s="560"/>
      <c r="AE363" s="560"/>
      <c r="AF363" s="560"/>
      <c r="AG363" s="560"/>
    </row>
  </sheetData>
  <sheetProtection/>
  <mergeCells count="57">
    <mergeCell ref="Q1:AH1"/>
    <mergeCell ref="Q2:AH2"/>
    <mergeCell ref="Q3:AH3"/>
    <mergeCell ref="A8:AH8"/>
    <mergeCell ref="A7:AH7"/>
    <mergeCell ref="A6:AH6"/>
    <mergeCell ref="A1:G1"/>
    <mergeCell ref="A2:G2"/>
    <mergeCell ref="A3:G3"/>
    <mergeCell ref="A5:AH5"/>
    <mergeCell ref="AA13:AA15"/>
    <mergeCell ref="I13:I15"/>
    <mergeCell ref="J13:J15"/>
    <mergeCell ref="K13:K15"/>
    <mergeCell ref="M13:M15"/>
    <mergeCell ref="N13:N15"/>
    <mergeCell ref="AC13:AC15"/>
    <mergeCell ref="V13:V15"/>
    <mergeCell ref="W13:W15"/>
    <mergeCell ref="X13:X15"/>
    <mergeCell ref="Z13:Z15"/>
    <mergeCell ref="T12:T15"/>
    <mergeCell ref="AB13:AB15"/>
    <mergeCell ref="Y12:Y15"/>
    <mergeCell ref="Z12:AC12"/>
    <mergeCell ref="U13:U15"/>
    <mergeCell ref="AD12:AD15"/>
    <mergeCell ref="AE12:AH12"/>
    <mergeCell ref="AE13:AE15"/>
    <mergeCell ref="AF13:AF15"/>
    <mergeCell ref="AG13:AG15"/>
    <mergeCell ref="AH13:AH15"/>
    <mergeCell ref="G10:K10"/>
    <mergeCell ref="L10:O11"/>
    <mergeCell ref="P10:S11"/>
    <mergeCell ref="T10:X11"/>
    <mergeCell ref="O13:O15"/>
    <mergeCell ref="L12:L15"/>
    <mergeCell ref="M12:O12"/>
    <mergeCell ref="P12:P15"/>
    <mergeCell ref="Q12:S12"/>
    <mergeCell ref="Y10:AC11"/>
    <mergeCell ref="AD10:AH11"/>
    <mergeCell ref="G11:G15"/>
    <mergeCell ref="H11:K11"/>
    <mergeCell ref="H12:H15"/>
    <mergeCell ref="I12:K12"/>
    <mergeCell ref="U12:X12"/>
    <mergeCell ref="Q13:Q15"/>
    <mergeCell ref="R13:R15"/>
    <mergeCell ref="S13:S15"/>
    <mergeCell ref="A10:A15"/>
    <mergeCell ref="B10:B15"/>
    <mergeCell ref="C10:C15"/>
    <mergeCell ref="D10:D15"/>
    <mergeCell ref="E10:E15"/>
    <mergeCell ref="F10:F15"/>
  </mergeCells>
  <printOptions/>
  <pageMargins left="0.2362204724409449" right="0.2362204724409449" top="0.6299212598425197" bottom="0.6299212598425197" header="0.31496062992125984" footer="0.31496062992125984"/>
  <pageSetup horizontalDpi="600" verticalDpi="600" orientation="landscape" paperSize="8" scale="50" r:id="rId1"/>
  <headerFooter>
    <oddFooter>&amp;C&amp;P</oddFooter>
  </headerFooter>
</worksheet>
</file>

<file path=xl/worksheets/sheet16.xml><?xml version="1.0" encoding="utf-8"?>
<worksheet xmlns="http://schemas.openxmlformats.org/spreadsheetml/2006/main" xmlns:r="http://schemas.openxmlformats.org/officeDocument/2006/relationships">
  <sheetPr>
    <tabColor rgb="FF00B0F0"/>
  </sheetPr>
  <dimension ref="A1:AH266"/>
  <sheetViews>
    <sheetView view="pageLayout" workbookViewId="0" topLeftCell="A1">
      <selection activeCell="C8" sqref="C8:C10"/>
    </sheetView>
  </sheetViews>
  <sheetFormatPr defaultColWidth="8.796875" defaultRowHeight="15"/>
  <cols>
    <col min="1" max="1" width="5.5" style="170" bestFit="1" customWidth="1"/>
    <col min="2" max="2" width="36.5" style="170" customWidth="1"/>
    <col min="3" max="3" width="8.19921875" style="170" customWidth="1"/>
    <col min="4" max="4" width="8.59765625" style="192" bestFit="1" customWidth="1"/>
    <col min="5" max="5" width="10.69921875" style="193" customWidth="1"/>
    <col min="6" max="6" width="14" style="194" customWidth="1"/>
    <col min="7" max="7" width="10.09765625" style="193" bestFit="1" customWidth="1"/>
    <col min="8" max="8" width="12.69921875" style="195" customWidth="1"/>
    <col min="9" max="9" width="10.59765625" style="196" customWidth="1"/>
    <col min="10" max="10" width="11.09765625" style="193" customWidth="1"/>
    <col min="11" max="11" width="12.09765625" style="193" customWidth="1"/>
    <col min="12" max="12" width="10.59765625" style="193" customWidth="1"/>
    <col min="13" max="13" width="11.3984375" style="193" bestFit="1" customWidth="1"/>
    <col min="14" max="14" width="9.09765625" style="193" bestFit="1" customWidth="1"/>
    <col min="15" max="15" width="9.5" style="193" bestFit="1" customWidth="1"/>
    <col min="16" max="16" width="11.19921875" style="193" customWidth="1"/>
    <col min="17" max="17" width="11" style="193" customWidth="1"/>
    <col min="18" max="18" width="11.59765625" style="193" bestFit="1" customWidth="1"/>
    <col min="19" max="20" width="10.8984375" style="193" customWidth="1"/>
    <col min="21" max="21" width="11.3984375" style="193" bestFit="1" customWidth="1"/>
    <col min="22" max="22" width="10.59765625" style="197" customWidth="1"/>
    <col min="23" max="23" width="12" style="193" customWidth="1"/>
    <col min="24" max="24" width="14" style="199" customWidth="1"/>
    <col min="25" max="26" width="0" style="170" hidden="1" customWidth="1"/>
    <col min="27" max="28" width="0" style="171" hidden="1" customWidth="1"/>
    <col min="29" max="29" width="0" style="172" hidden="1" customWidth="1"/>
    <col min="30" max="32" width="0" style="170" hidden="1" customWidth="1"/>
    <col min="33" max="33" width="0" style="173" hidden="1" customWidth="1"/>
    <col min="34" max="34" width="0" style="174" hidden="1" customWidth="1"/>
    <col min="35" max="16384" width="9" style="170" customWidth="1"/>
  </cols>
  <sheetData>
    <row r="1" spans="1:26" ht="20.25">
      <c r="A1" s="795" t="s">
        <v>259</v>
      </c>
      <c r="B1" s="796"/>
      <c r="C1" s="796"/>
      <c r="D1" s="796"/>
      <c r="E1" s="796"/>
      <c r="F1" s="796"/>
      <c r="G1" s="168"/>
      <c r="H1" s="169"/>
      <c r="I1" s="358"/>
      <c r="J1" s="358"/>
      <c r="K1" s="358"/>
      <c r="L1" s="358"/>
      <c r="M1" s="358"/>
      <c r="N1" s="358"/>
      <c r="O1" s="358"/>
      <c r="P1" s="358"/>
      <c r="Q1" s="358"/>
      <c r="R1" s="358"/>
      <c r="S1" s="358"/>
      <c r="T1" s="358"/>
      <c r="U1" s="358"/>
      <c r="V1" s="738" t="s">
        <v>173</v>
      </c>
      <c r="W1" s="738"/>
      <c r="X1" s="738"/>
      <c r="Y1" s="738"/>
      <c r="Z1" s="779"/>
    </row>
    <row r="2" spans="1:24" ht="20.25">
      <c r="A2" s="796" t="s">
        <v>260</v>
      </c>
      <c r="B2" s="796"/>
      <c r="C2" s="796"/>
      <c r="D2" s="796"/>
      <c r="E2" s="796"/>
      <c r="F2" s="796"/>
      <c r="G2" s="796"/>
      <c r="H2" s="169"/>
      <c r="I2" s="796"/>
      <c r="J2" s="796"/>
      <c r="K2" s="796"/>
      <c r="L2" s="796"/>
      <c r="M2" s="796"/>
      <c r="N2" s="796"/>
      <c r="O2" s="796"/>
      <c r="P2" s="796"/>
      <c r="Q2" s="796"/>
      <c r="R2" s="796"/>
      <c r="S2" s="796"/>
      <c r="T2" s="796"/>
      <c r="U2" s="796"/>
      <c r="V2" s="796"/>
      <c r="W2" s="796"/>
      <c r="X2" s="796"/>
    </row>
    <row r="3" spans="1:24" ht="20.25">
      <c r="A3" s="331"/>
      <c r="B3" s="331"/>
      <c r="C3" s="331"/>
      <c r="D3" s="331"/>
      <c r="E3" s="331"/>
      <c r="F3" s="175"/>
      <c r="G3" s="331"/>
      <c r="H3" s="176"/>
      <c r="I3" s="331"/>
      <c r="J3" s="331"/>
      <c r="K3" s="331"/>
      <c r="L3" s="331"/>
      <c r="M3" s="331"/>
      <c r="N3" s="331"/>
      <c r="O3" s="331"/>
      <c r="P3" s="331"/>
      <c r="Q3" s="331"/>
      <c r="R3" s="331"/>
      <c r="S3" s="331"/>
      <c r="T3" s="331"/>
      <c r="U3" s="168"/>
      <c r="V3" s="177"/>
      <c r="W3" s="178"/>
      <c r="X3" s="179"/>
    </row>
    <row r="4" spans="1:24" ht="20.25">
      <c r="A4" s="180"/>
      <c r="B4" s="181"/>
      <c r="C4" s="182"/>
      <c r="D4" s="183"/>
      <c r="E4" s="184"/>
      <c r="F4" s="185"/>
      <c r="G4" s="168"/>
      <c r="H4" s="169"/>
      <c r="I4" s="186"/>
      <c r="J4" s="168"/>
      <c r="K4" s="168"/>
      <c r="L4" s="168"/>
      <c r="M4" s="168"/>
      <c r="N4" s="168"/>
      <c r="O4" s="168"/>
      <c r="P4" s="168"/>
      <c r="Q4" s="168"/>
      <c r="R4" s="168"/>
      <c r="S4" s="168"/>
      <c r="T4" s="168"/>
      <c r="U4" s="168"/>
      <c r="V4" s="177"/>
      <c r="W4" s="178"/>
      <c r="X4" s="179"/>
    </row>
    <row r="5" spans="1:34" s="187" customFormat="1" ht="20.25">
      <c r="A5" s="797" t="s">
        <v>261</v>
      </c>
      <c r="B5" s="797"/>
      <c r="C5" s="797"/>
      <c r="D5" s="797"/>
      <c r="E5" s="797"/>
      <c r="F5" s="797"/>
      <c r="G5" s="797"/>
      <c r="H5" s="797"/>
      <c r="I5" s="797"/>
      <c r="J5" s="797"/>
      <c r="K5" s="797"/>
      <c r="L5" s="797"/>
      <c r="M5" s="797"/>
      <c r="N5" s="797"/>
      <c r="O5" s="797"/>
      <c r="P5" s="797"/>
      <c r="Q5" s="797"/>
      <c r="R5" s="797"/>
      <c r="S5" s="797"/>
      <c r="T5" s="797"/>
      <c r="U5" s="797"/>
      <c r="V5" s="797"/>
      <c r="W5" s="797"/>
      <c r="X5" s="797"/>
      <c r="AA5" s="188"/>
      <c r="AB5" s="188"/>
      <c r="AC5" s="189"/>
      <c r="AG5" s="190"/>
      <c r="AH5" s="191"/>
    </row>
    <row r="6" spans="1:34" s="187" customFormat="1" ht="20.25">
      <c r="A6" s="797" t="s">
        <v>262</v>
      </c>
      <c r="B6" s="797"/>
      <c r="C6" s="797"/>
      <c r="D6" s="797"/>
      <c r="E6" s="797"/>
      <c r="F6" s="797"/>
      <c r="G6" s="797"/>
      <c r="H6" s="797"/>
      <c r="I6" s="797"/>
      <c r="J6" s="797"/>
      <c r="K6" s="797"/>
      <c r="L6" s="797"/>
      <c r="M6" s="797"/>
      <c r="N6" s="797"/>
      <c r="O6" s="797"/>
      <c r="P6" s="797"/>
      <c r="Q6" s="797"/>
      <c r="R6" s="797"/>
      <c r="S6" s="797"/>
      <c r="T6" s="797"/>
      <c r="U6" s="797"/>
      <c r="V6" s="797"/>
      <c r="W6" s="797"/>
      <c r="X6" s="797"/>
      <c r="AA6" s="188"/>
      <c r="AB6" s="188"/>
      <c r="AC6" s="189"/>
      <c r="AG6" s="190"/>
      <c r="AH6" s="191"/>
    </row>
    <row r="7" ht="15">
      <c r="W7" s="198" t="s">
        <v>263</v>
      </c>
    </row>
    <row r="8" spans="1:34" s="200" customFormat="1" ht="43.5" customHeight="1">
      <c r="A8" s="798" t="s">
        <v>264</v>
      </c>
      <c r="B8" s="799" t="s">
        <v>148</v>
      </c>
      <c r="C8" s="799" t="s">
        <v>265</v>
      </c>
      <c r="D8" s="799" t="s">
        <v>266</v>
      </c>
      <c r="E8" s="792" t="s">
        <v>267</v>
      </c>
      <c r="F8" s="785" t="s">
        <v>268</v>
      </c>
      <c r="G8" s="785"/>
      <c r="H8" s="793" t="s">
        <v>269</v>
      </c>
      <c r="I8" s="792" t="s">
        <v>270</v>
      </c>
      <c r="J8" s="792" t="s">
        <v>271</v>
      </c>
      <c r="K8" s="792"/>
      <c r="L8" s="792"/>
      <c r="M8" s="792"/>
      <c r="N8" s="792"/>
      <c r="O8" s="792"/>
      <c r="P8" s="792" t="s">
        <v>272</v>
      </c>
      <c r="Q8" s="792"/>
      <c r="R8" s="792"/>
      <c r="S8" s="792"/>
      <c r="T8" s="792"/>
      <c r="U8" s="792"/>
      <c r="V8" s="794" t="s">
        <v>273</v>
      </c>
      <c r="W8" s="792" t="s">
        <v>274</v>
      </c>
      <c r="X8" s="793" t="s">
        <v>275</v>
      </c>
      <c r="AA8" s="201"/>
      <c r="AB8" s="201"/>
      <c r="AC8" s="202"/>
      <c r="AD8" s="200" t="s">
        <v>276</v>
      </c>
      <c r="AG8" s="203"/>
      <c r="AH8" s="204"/>
    </row>
    <row r="9" spans="1:34" s="200" customFormat="1" ht="57.75" customHeight="1">
      <c r="A9" s="798"/>
      <c r="B9" s="799"/>
      <c r="C9" s="799"/>
      <c r="D9" s="799"/>
      <c r="E9" s="792"/>
      <c r="F9" s="785"/>
      <c r="G9" s="785"/>
      <c r="H9" s="793"/>
      <c r="I9" s="792"/>
      <c r="J9" s="792" t="s">
        <v>277</v>
      </c>
      <c r="K9" s="792" t="s">
        <v>278</v>
      </c>
      <c r="L9" s="792"/>
      <c r="M9" s="792"/>
      <c r="N9" s="792" t="s">
        <v>279</v>
      </c>
      <c r="O9" s="792" t="s">
        <v>280</v>
      </c>
      <c r="P9" s="792" t="s">
        <v>281</v>
      </c>
      <c r="Q9" s="792" t="s">
        <v>278</v>
      </c>
      <c r="R9" s="792"/>
      <c r="S9" s="792"/>
      <c r="T9" s="792" t="s">
        <v>279</v>
      </c>
      <c r="U9" s="792" t="s">
        <v>280</v>
      </c>
      <c r="V9" s="794"/>
      <c r="W9" s="792"/>
      <c r="X9" s="793"/>
      <c r="AA9" s="201"/>
      <c r="AB9" s="201"/>
      <c r="AC9" s="202"/>
      <c r="AG9" s="203"/>
      <c r="AH9" s="204"/>
    </row>
    <row r="10" spans="1:34" s="200" customFormat="1" ht="120" customHeight="1">
      <c r="A10" s="798"/>
      <c r="B10" s="799"/>
      <c r="C10" s="799"/>
      <c r="D10" s="799"/>
      <c r="E10" s="792"/>
      <c r="F10" s="205" t="s">
        <v>63</v>
      </c>
      <c r="G10" s="328" t="s">
        <v>282</v>
      </c>
      <c r="H10" s="793"/>
      <c r="I10" s="792"/>
      <c r="J10" s="792"/>
      <c r="K10" s="328" t="s">
        <v>63</v>
      </c>
      <c r="L10" s="328" t="s">
        <v>283</v>
      </c>
      <c r="M10" s="328" t="s">
        <v>284</v>
      </c>
      <c r="N10" s="792"/>
      <c r="O10" s="792"/>
      <c r="P10" s="792"/>
      <c r="Q10" s="328" t="s">
        <v>63</v>
      </c>
      <c r="R10" s="328" t="s">
        <v>283</v>
      </c>
      <c r="S10" s="328" t="s">
        <v>284</v>
      </c>
      <c r="T10" s="792"/>
      <c r="U10" s="792"/>
      <c r="V10" s="794"/>
      <c r="W10" s="792"/>
      <c r="X10" s="793"/>
      <c r="Y10" s="200" t="s">
        <v>285</v>
      </c>
      <c r="Z10" s="200" t="s">
        <v>286</v>
      </c>
      <c r="AA10" s="201">
        <v>22</v>
      </c>
      <c r="AB10" s="201">
        <v>23</v>
      </c>
      <c r="AC10" s="201">
        <v>24</v>
      </c>
      <c r="AG10" s="203"/>
      <c r="AH10" s="204"/>
    </row>
    <row r="11" spans="1:33" s="206" customFormat="1" ht="13.5">
      <c r="A11" s="784">
        <v>1</v>
      </c>
      <c r="B11" s="784">
        <v>2</v>
      </c>
      <c r="C11" s="784">
        <v>3</v>
      </c>
      <c r="D11" s="791">
        <v>4</v>
      </c>
      <c r="E11" s="784">
        <v>5</v>
      </c>
      <c r="F11" s="790">
        <v>6</v>
      </c>
      <c r="G11" s="784">
        <v>7</v>
      </c>
      <c r="H11" s="790">
        <v>8</v>
      </c>
      <c r="I11" s="784">
        <v>9</v>
      </c>
      <c r="J11" s="784">
        <v>10</v>
      </c>
      <c r="K11" s="784" t="s">
        <v>117</v>
      </c>
      <c r="L11" s="784">
        <v>12</v>
      </c>
      <c r="M11" s="784">
        <v>13</v>
      </c>
      <c r="N11" s="784">
        <v>14</v>
      </c>
      <c r="O11" s="784" t="s">
        <v>287</v>
      </c>
      <c r="P11" s="784">
        <v>16</v>
      </c>
      <c r="Q11" s="784" t="s">
        <v>288</v>
      </c>
      <c r="R11" s="784">
        <v>18</v>
      </c>
      <c r="S11" s="784">
        <v>19</v>
      </c>
      <c r="T11" s="784">
        <v>20</v>
      </c>
      <c r="U11" s="785" t="s">
        <v>289</v>
      </c>
      <c r="V11" s="786" t="s">
        <v>290</v>
      </c>
      <c r="W11" s="785" t="s">
        <v>291</v>
      </c>
      <c r="X11" s="788" t="s">
        <v>292</v>
      </c>
      <c r="AA11" s="207" t="e">
        <f>SUM(AA13:AA255)</f>
        <v>#REF!</v>
      </c>
      <c r="AB11" s="207" t="e">
        <f>SUM(AB13:AB255)</f>
        <v>#REF!</v>
      </c>
      <c r="AC11" s="207" t="e">
        <f>SUM(AC13:AC255)</f>
        <v>#REF!</v>
      </c>
      <c r="AD11" s="208"/>
      <c r="AG11" s="209"/>
    </row>
    <row r="12" spans="1:34" s="200" customFormat="1" ht="13.5">
      <c r="A12" s="784"/>
      <c r="B12" s="784"/>
      <c r="C12" s="784"/>
      <c r="D12" s="791"/>
      <c r="E12" s="784"/>
      <c r="F12" s="790"/>
      <c r="G12" s="784"/>
      <c r="H12" s="790"/>
      <c r="I12" s="784"/>
      <c r="J12" s="784"/>
      <c r="K12" s="784"/>
      <c r="L12" s="784"/>
      <c r="M12" s="784"/>
      <c r="N12" s="784"/>
      <c r="O12" s="784"/>
      <c r="P12" s="784"/>
      <c r="Q12" s="784"/>
      <c r="R12" s="784"/>
      <c r="S12" s="784"/>
      <c r="T12" s="784"/>
      <c r="U12" s="785"/>
      <c r="V12" s="787"/>
      <c r="W12" s="785"/>
      <c r="X12" s="789"/>
      <c r="Y12" s="210"/>
      <c r="Z12" s="210"/>
      <c r="AA12" s="207"/>
      <c r="AB12" s="207"/>
      <c r="AC12" s="211"/>
      <c r="AG12" s="203"/>
      <c r="AH12" s="204"/>
    </row>
    <row r="13" spans="1:34" s="200" customFormat="1" ht="13.5">
      <c r="A13" s="212"/>
      <c r="B13" s="330" t="s">
        <v>293</v>
      </c>
      <c r="C13" s="330"/>
      <c r="D13" s="329"/>
      <c r="E13" s="328">
        <v>780227.364</v>
      </c>
      <c r="F13" s="205">
        <v>295228.858</v>
      </c>
      <c r="G13" s="328">
        <v>12074.3</v>
      </c>
      <c r="H13" s="333">
        <v>607.5840000000001</v>
      </c>
      <c r="I13" s="328">
        <v>10904.38</v>
      </c>
      <c r="J13" s="328">
        <v>36603.782</v>
      </c>
      <c r="K13" s="328">
        <v>35881.710999999996</v>
      </c>
      <c r="L13" s="328">
        <v>32805.185</v>
      </c>
      <c r="M13" s="328">
        <v>3076.5260000000003</v>
      </c>
      <c r="N13" s="328">
        <v>0</v>
      </c>
      <c r="O13" s="328">
        <v>722.0709999999997</v>
      </c>
      <c r="P13" s="328">
        <v>117961</v>
      </c>
      <c r="Q13" s="328">
        <v>100897.12800000001</v>
      </c>
      <c r="R13" s="328">
        <v>81721.126</v>
      </c>
      <c r="S13" s="328">
        <v>19176.002</v>
      </c>
      <c r="T13" s="328">
        <v>7608.255999999999</v>
      </c>
      <c r="U13" s="328">
        <v>9455.616000000002</v>
      </c>
      <c r="V13" s="332">
        <v>125430.69099999999</v>
      </c>
      <c r="W13" s="328">
        <v>22814.864</v>
      </c>
      <c r="X13" s="333">
        <v>431400.113</v>
      </c>
      <c r="AA13" s="201"/>
      <c r="AB13" s="201"/>
      <c r="AC13" s="202"/>
      <c r="AG13" s="213">
        <f>SUM(AG15:AG256)</f>
        <v>431400.11299999995</v>
      </c>
      <c r="AH13" s="204"/>
    </row>
    <row r="14" spans="1:34" s="200" customFormat="1" ht="13.5">
      <c r="A14" s="329"/>
      <c r="B14" s="330" t="s">
        <v>115</v>
      </c>
      <c r="C14" s="330"/>
      <c r="D14" s="329"/>
      <c r="E14" s="328">
        <v>780227.364</v>
      </c>
      <c r="F14" s="205">
        <v>295228.858</v>
      </c>
      <c r="G14" s="328">
        <v>12074.3</v>
      </c>
      <c r="H14" s="333">
        <v>607.5840000000001</v>
      </c>
      <c r="I14" s="328">
        <v>10904.38</v>
      </c>
      <c r="J14" s="328">
        <v>36603.782</v>
      </c>
      <c r="K14" s="328">
        <v>35881.710999999996</v>
      </c>
      <c r="L14" s="328">
        <v>32805.185</v>
      </c>
      <c r="M14" s="328">
        <v>3076.5260000000003</v>
      </c>
      <c r="N14" s="328">
        <v>0</v>
      </c>
      <c r="O14" s="328">
        <v>722.0709999999997</v>
      </c>
      <c r="P14" s="328">
        <v>117961</v>
      </c>
      <c r="Q14" s="328">
        <v>100897.12800000001</v>
      </c>
      <c r="R14" s="328">
        <v>81721.126</v>
      </c>
      <c r="S14" s="328">
        <v>19176.002</v>
      </c>
      <c r="T14" s="328">
        <v>7608.255999999999</v>
      </c>
      <c r="U14" s="328">
        <v>9455.616000000002</v>
      </c>
      <c r="V14" s="332">
        <v>125430.69099999999</v>
      </c>
      <c r="W14" s="328">
        <v>22814.864</v>
      </c>
      <c r="X14" s="333">
        <v>431400.113</v>
      </c>
      <c r="AA14" s="201"/>
      <c r="AB14" s="201"/>
      <c r="AC14" s="202"/>
      <c r="AF14" s="214"/>
      <c r="AG14" s="203"/>
      <c r="AH14" s="204"/>
    </row>
    <row r="15" spans="1:34" s="200" customFormat="1" ht="13.5">
      <c r="A15" s="329" t="s">
        <v>5</v>
      </c>
      <c r="B15" s="215" t="s">
        <v>294</v>
      </c>
      <c r="C15" s="330"/>
      <c r="D15" s="329"/>
      <c r="E15" s="328">
        <v>780227.364</v>
      </c>
      <c r="F15" s="328">
        <v>295228.858</v>
      </c>
      <c r="G15" s="328">
        <v>12074.3</v>
      </c>
      <c r="H15" s="333">
        <v>607.5840000000001</v>
      </c>
      <c r="I15" s="328">
        <v>10904.38</v>
      </c>
      <c r="J15" s="328">
        <v>36603.782</v>
      </c>
      <c r="K15" s="328">
        <v>35881.710999999996</v>
      </c>
      <c r="L15" s="328">
        <v>32805.185</v>
      </c>
      <c r="M15" s="328">
        <v>3076.5260000000003</v>
      </c>
      <c r="N15" s="328">
        <v>0</v>
      </c>
      <c r="O15" s="328">
        <v>722.0709999999997</v>
      </c>
      <c r="P15" s="328">
        <v>117961</v>
      </c>
      <c r="Q15" s="328">
        <v>100897.12800000001</v>
      </c>
      <c r="R15" s="328">
        <v>81721.126</v>
      </c>
      <c r="S15" s="328">
        <v>19176.002</v>
      </c>
      <c r="T15" s="328">
        <v>7608.255999999999</v>
      </c>
      <c r="U15" s="328">
        <v>9455.616000000002</v>
      </c>
      <c r="V15" s="332">
        <v>125430.69099999999</v>
      </c>
      <c r="W15" s="328">
        <v>22814.864</v>
      </c>
      <c r="X15" s="333">
        <v>431400.113</v>
      </c>
      <c r="AA15" s="201"/>
      <c r="AB15" s="201"/>
      <c r="AC15" s="202"/>
      <c r="AG15" s="203"/>
      <c r="AH15" s="204"/>
    </row>
    <row r="16" spans="1:34" s="200" customFormat="1" ht="13.5">
      <c r="A16" s="329" t="s">
        <v>295</v>
      </c>
      <c r="B16" s="215" t="s">
        <v>296</v>
      </c>
      <c r="C16" s="330"/>
      <c r="D16" s="329"/>
      <c r="E16" s="328">
        <v>646544.328</v>
      </c>
      <c r="F16" s="205">
        <v>190378.08000000002</v>
      </c>
      <c r="G16" s="328">
        <v>10700.171999999999</v>
      </c>
      <c r="H16" s="333">
        <v>432.983</v>
      </c>
      <c r="I16" s="328">
        <v>9705.823999999999</v>
      </c>
      <c r="J16" s="328">
        <v>36603.782</v>
      </c>
      <c r="K16" s="328">
        <v>35881.710999999996</v>
      </c>
      <c r="L16" s="328">
        <v>32805.185</v>
      </c>
      <c r="M16" s="328">
        <v>3076.5260000000003</v>
      </c>
      <c r="N16" s="328">
        <v>0</v>
      </c>
      <c r="O16" s="328">
        <v>722.0709999999997</v>
      </c>
      <c r="P16" s="328">
        <v>117961</v>
      </c>
      <c r="Q16" s="328">
        <v>100897.12800000001</v>
      </c>
      <c r="R16" s="328">
        <v>81721.126</v>
      </c>
      <c r="S16" s="328">
        <v>19176.002</v>
      </c>
      <c r="T16" s="328">
        <v>7608.255999999999</v>
      </c>
      <c r="U16" s="328">
        <v>9455.616000000002</v>
      </c>
      <c r="V16" s="332">
        <v>124232.135</v>
      </c>
      <c r="W16" s="328">
        <v>22813.893</v>
      </c>
      <c r="X16" s="333">
        <v>326723.93600000005</v>
      </c>
      <c r="AA16" s="201"/>
      <c r="AB16" s="201"/>
      <c r="AC16" s="202"/>
      <c r="AG16" s="203"/>
      <c r="AH16" s="204"/>
    </row>
    <row r="17" spans="1:34" s="223" customFormat="1" ht="27">
      <c r="A17" s="216" t="s">
        <v>14</v>
      </c>
      <c r="B17" s="217" t="s">
        <v>297</v>
      </c>
      <c r="C17" s="218"/>
      <c r="D17" s="216"/>
      <c r="E17" s="219">
        <v>345687.07999999996</v>
      </c>
      <c r="F17" s="220">
        <v>84089.562</v>
      </c>
      <c r="G17" s="219">
        <v>4324.321</v>
      </c>
      <c r="H17" s="221">
        <v>333.557</v>
      </c>
      <c r="I17" s="219">
        <v>3990.764</v>
      </c>
      <c r="J17" s="222">
        <v>16306</v>
      </c>
      <c r="K17" s="222">
        <v>15917.934</v>
      </c>
      <c r="L17" s="219">
        <v>15882.953</v>
      </c>
      <c r="M17" s="219">
        <v>34.981</v>
      </c>
      <c r="N17" s="219">
        <v>0</v>
      </c>
      <c r="O17" s="219">
        <v>388.06599999999975</v>
      </c>
      <c r="P17" s="222">
        <v>63800</v>
      </c>
      <c r="Q17" s="222">
        <v>56349.852</v>
      </c>
      <c r="R17" s="219">
        <v>42153.034</v>
      </c>
      <c r="S17" s="219">
        <v>14196.817999999997</v>
      </c>
      <c r="T17" s="219">
        <v>1000</v>
      </c>
      <c r="U17" s="219">
        <v>6450.148000000004</v>
      </c>
      <c r="V17" s="222">
        <v>62026.751</v>
      </c>
      <c r="W17" s="219">
        <v>14231.798999999997</v>
      </c>
      <c r="X17" s="221">
        <v>156023.79100000003</v>
      </c>
      <c r="AA17" s="224"/>
      <c r="AB17" s="224"/>
      <c r="AC17" s="225"/>
      <c r="AE17" s="226"/>
      <c r="AF17" s="227"/>
      <c r="AG17" s="228"/>
      <c r="AH17" s="229"/>
    </row>
    <row r="18" spans="1:34" s="200" customFormat="1" ht="13.5">
      <c r="A18" s="329"/>
      <c r="B18" s="230" t="s">
        <v>115</v>
      </c>
      <c r="C18" s="329"/>
      <c r="D18" s="329"/>
      <c r="E18" s="231">
        <v>345687.07999999996</v>
      </c>
      <c r="F18" s="232">
        <v>84089.562</v>
      </c>
      <c r="G18" s="231">
        <v>4324.321</v>
      </c>
      <c r="H18" s="233">
        <v>333.557</v>
      </c>
      <c r="I18" s="231">
        <v>3990.764</v>
      </c>
      <c r="J18" s="231">
        <v>16306</v>
      </c>
      <c r="K18" s="231">
        <v>15917.934</v>
      </c>
      <c r="L18" s="231">
        <v>15882.953</v>
      </c>
      <c r="M18" s="231">
        <v>34.981</v>
      </c>
      <c r="N18" s="231">
        <v>0</v>
      </c>
      <c r="O18" s="231">
        <v>388.06599999999975</v>
      </c>
      <c r="P18" s="231">
        <v>63800</v>
      </c>
      <c r="Q18" s="231">
        <v>56349.852</v>
      </c>
      <c r="R18" s="231">
        <v>42153.034</v>
      </c>
      <c r="S18" s="231">
        <v>14196.817999999997</v>
      </c>
      <c r="T18" s="231">
        <v>1000</v>
      </c>
      <c r="U18" s="231">
        <v>6450.148000000004</v>
      </c>
      <c r="V18" s="234">
        <v>62026.751</v>
      </c>
      <c r="W18" s="231">
        <v>14231.798999999997</v>
      </c>
      <c r="X18" s="233">
        <v>156023.79100000003</v>
      </c>
      <c r="AA18" s="201"/>
      <c r="AB18" s="201"/>
      <c r="AC18" s="202"/>
      <c r="AG18" s="203"/>
      <c r="AH18" s="204"/>
    </row>
    <row r="19" spans="1:34" s="200" customFormat="1" ht="13.5">
      <c r="A19" s="329">
        <v>1</v>
      </c>
      <c r="B19" s="215" t="s">
        <v>298</v>
      </c>
      <c r="C19" s="330"/>
      <c r="D19" s="329"/>
      <c r="E19" s="328">
        <v>43147.022</v>
      </c>
      <c r="F19" s="205">
        <v>151.064</v>
      </c>
      <c r="G19" s="328">
        <v>0</v>
      </c>
      <c r="H19" s="333">
        <v>0</v>
      </c>
      <c r="I19" s="328">
        <v>0</v>
      </c>
      <c r="J19" s="328">
        <v>0</v>
      </c>
      <c r="K19" s="328">
        <v>0</v>
      </c>
      <c r="L19" s="328">
        <v>0</v>
      </c>
      <c r="M19" s="328">
        <v>0</v>
      </c>
      <c r="N19" s="328">
        <v>0</v>
      </c>
      <c r="O19" s="328">
        <v>0</v>
      </c>
      <c r="P19" s="328">
        <v>1348</v>
      </c>
      <c r="Q19" s="328">
        <v>1228.799</v>
      </c>
      <c r="R19" s="328">
        <v>1228.799</v>
      </c>
      <c r="S19" s="328">
        <v>0</v>
      </c>
      <c r="T19" s="328">
        <v>0</v>
      </c>
      <c r="U19" s="328">
        <v>119.20099999999998</v>
      </c>
      <c r="V19" s="332">
        <v>1228.799</v>
      </c>
      <c r="W19" s="328">
        <v>0</v>
      </c>
      <c r="X19" s="333">
        <v>1379.863</v>
      </c>
      <c r="AA19" s="201"/>
      <c r="AB19" s="201"/>
      <c r="AC19" s="202"/>
      <c r="AE19" s="210"/>
      <c r="AG19" s="203"/>
      <c r="AH19" s="204"/>
    </row>
    <row r="20" spans="1:34" s="236" customFormat="1" ht="13.5">
      <c r="A20" s="329"/>
      <c r="B20" s="235" t="s">
        <v>299</v>
      </c>
      <c r="C20" s="330"/>
      <c r="D20" s="329"/>
      <c r="E20" s="328"/>
      <c r="F20" s="205"/>
      <c r="G20" s="328"/>
      <c r="H20" s="333"/>
      <c r="I20" s="328"/>
      <c r="J20" s="328"/>
      <c r="K20" s="328"/>
      <c r="L20" s="328"/>
      <c r="M20" s="328"/>
      <c r="N20" s="328"/>
      <c r="O20" s="328"/>
      <c r="P20" s="328"/>
      <c r="Q20" s="328"/>
      <c r="R20" s="328"/>
      <c r="S20" s="328"/>
      <c r="T20" s="328"/>
      <c r="U20" s="328"/>
      <c r="V20" s="332"/>
      <c r="W20" s="328"/>
      <c r="X20" s="333"/>
      <c r="AA20" s="201"/>
      <c r="AB20" s="201"/>
      <c r="AC20" s="237"/>
      <c r="AG20" s="213"/>
      <c r="AH20" s="238"/>
    </row>
    <row r="21" spans="1:34" s="236" customFormat="1" ht="13.5">
      <c r="A21" s="329"/>
      <c r="B21" s="235" t="s">
        <v>300</v>
      </c>
      <c r="C21" s="330"/>
      <c r="D21" s="329"/>
      <c r="E21" s="328"/>
      <c r="F21" s="205"/>
      <c r="G21" s="328"/>
      <c r="H21" s="333"/>
      <c r="I21" s="328"/>
      <c r="J21" s="328"/>
      <c r="K21" s="328"/>
      <c r="L21" s="328"/>
      <c r="M21" s="328"/>
      <c r="N21" s="328"/>
      <c r="O21" s="328"/>
      <c r="P21" s="328"/>
      <c r="Q21" s="328"/>
      <c r="R21" s="328"/>
      <c r="S21" s="328"/>
      <c r="T21" s="328"/>
      <c r="U21" s="328"/>
      <c r="V21" s="332"/>
      <c r="W21" s="328"/>
      <c r="X21" s="333"/>
      <c r="AA21" s="201"/>
      <c r="AB21" s="201"/>
      <c r="AC21" s="237"/>
      <c r="AG21" s="213"/>
      <c r="AH21" s="238"/>
    </row>
    <row r="22" spans="1:34" s="236" customFormat="1" ht="13.5">
      <c r="A22" s="329"/>
      <c r="B22" s="235" t="s">
        <v>301</v>
      </c>
      <c r="C22" s="330"/>
      <c r="D22" s="329"/>
      <c r="E22" s="328"/>
      <c r="F22" s="205"/>
      <c r="G22" s="328"/>
      <c r="H22" s="333"/>
      <c r="I22" s="328"/>
      <c r="J22" s="328"/>
      <c r="K22" s="328"/>
      <c r="L22" s="328"/>
      <c r="M22" s="328"/>
      <c r="N22" s="328"/>
      <c r="O22" s="328"/>
      <c r="P22" s="328"/>
      <c r="Q22" s="328"/>
      <c r="R22" s="328"/>
      <c r="S22" s="328"/>
      <c r="T22" s="328"/>
      <c r="U22" s="328"/>
      <c r="V22" s="332"/>
      <c r="W22" s="328"/>
      <c r="X22" s="333"/>
      <c r="AA22" s="201"/>
      <c r="AB22" s="201"/>
      <c r="AC22" s="237"/>
      <c r="AG22" s="213"/>
      <c r="AH22" s="238"/>
    </row>
    <row r="23" spans="1:34" s="236" customFormat="1" ht="13.5">
      <c r="A23" s="329"/>
      <c r="B23" s="239" t="s">
        <v>302</v>
      </c>
      <c r="C23" s="330"/>
      <c r="D23" s="329"/>
      <c r="E23" s="328"/>
      <c r="F23" s="205"/>
      <c r="G23" s="328"/>
      <c r="H23" s="333"/>
      <c r="I23" s="328"/>
      <c r="J23" s="328"/>
      <c r="K23" s="328"/>
      <c r="L23" s="328"/>
      <c r="M23" s="328"/>
      <c r="N23" s="328"/>
      <c r="O23" s="328"/>
      <c r="P23" s="328"/>
      <c r="Q23" s="328"/>
      <c r="R23" s="328"/>
      <c r="S23" s="328"/>
      <c r="T23" s="328"/>
      <c r="U23" s="328"/>
      <c r="V23" s="332"/>
      <c r="W23" s="328"/>
      <c r="X23" s="333"/>
      <c r="AA23" s="201"/>
      <c r="AB23" s="201"/>
      <c r="AC23" s="237"/>
      <c r="AG23" s="213"/>
      <c r="AH23" s="238"/>
    </row>
    <row r="24" spans="1:34" s="236" customFormat="1" ht="13.5">
      <c r="A24" s="329"/>
      <c r="B24" s="235" t="s">
        <v>303</v>
      </c>
      <c r="C24" s="330"/>
      <c r="D24" s="329"/>
      <c r="E24" s="328">
        <v>43147.022</v>
      </c>
      <c r="F24" s="205">
        <v>151.064</v>
      </c>
      <c r="G24" s="328">
        <v>0</v>
      </c>
      <c r="H24" s="333">
        <v>0</v>
      </c>
      <c r="I24" s="328">
        <v>0</v>
      </c>
      <c r="J24" s="328">
        <v>0</v>
      </c>
      <c r="K24" s="328">
        <v>0</v>
      </c>
      <c r="L24" s="328">
        <v>0</v>
      </c>
      <c r="M24" s="328">
        <v>0</v>
      </c>
      <c r="N24" s="328">
        <v>0</v>
      </c>
      <c r="O24" s="328">
        <v>0</v>
      </c>
      <c r="P24" s="328">
        <v>1348</v>
      </c>
      <c r="Q24" s="328">
        <v>1228.799</v>
      </c>
      <c r="R24" s="328">
        <v>1228.799</v>
      </c>
      <c r="S24" s="328">
        <v>0</v>
      </c>
      <c r="T24" s="328">
        <v>0</v>
      </c>
      <c r="U24" s="328">
        <v>119.20099999999998</v>
      </c>
      <c r="V24" s="332">
        <v>1228.799</v>
      </c>
      <c r="W24" s="328">
        <v>0</v>
      </c>
      <c r="X24" s="333">
        <v>1379.863</v>
      </c>
      <c r="AA24" s="201"/>
      <c r="AB24" s="201"/>
      <c r="AC24" s="237"/>
      <c r="AG24" s="213"/>
      <c r="AH24" s="238"/>
    </row>
    <row r="25" spans="1:34" s="200" customFormat="1" ht="13.5">
      <c r="A25" s="329">
        <v>1</v>
      </c>
      <c r="B25" s="240" t="s">
        <v>304</v>
      </c>
      <c r="C25" s="329" t="s">
        <v>305</v>
      </c>
      <c r="D25" s="241">
        <v>7613511</v>
      </c>
      <c r="E25" s="231">
        <v>3945</v>
      </c>
      <c r="F25" s="232">
        <v>0</v>
      </c>
      <c r="G25" s="231">
        <v>0</v>
      </c>
      <c r="H25" s="233">
        <v>0</v>
      </c>
      <c r="I25" s="231">
        <v>0</v>
      </c>
      <c r="J25" s="231">
        <v>0</v>
      </c>
      <c r="K25" s="231">
        <v>0</v>
      </c>
      <c r="L25" s="231">
        <v>0</v>
      </c>
      <c r="M25" s="231">
        <v>0</v>
      </c>
      <c r="N25" s="231">
        <v>0</v>
      </c>
      <c r="O25" s="231">
        <v>0</v>
      </c>
      <c r="P25" s="231">
        <v>420</v>
      </c>
      <c r="Q25" s="231">
        <v>390.357</v>
      </c>
      <c r="R25" s="231">
        <v>390.357</v>
      </c>
      <c r="S25" s="231">
        <v>0</v>
      </c>
      <c r="T25" s="231"/>
      <c r="U25" s="231">
        <v>29.642999999999972</v>
      </c>
      <c r="V25" s="234">
        <v>390.357</v>
      </c>
      <c r="W25" s="231">
        <v>0</v>
      </c>
      <c r="X25" s="233">
        <v>390.357</v>
      </c>
      <c r="Y25" s="200">
        <v>0</v>
      </c>
      <c r="Z25" s="200">
        <v>390.357</v>
      </c>
      <c r="AA25" s="242" t="e">
        <f>INDEX('[3]TONG HOP'!#REF!,MATCH(D25,'[3]TONG HOP'!$L$31:$L$400,0),335)+INDEX('[3]TONG HOP'!#REF!,MATCH(D25,'[3]TONG HOP'!$L$31:$L$400,0),336)</f>
        <v>#REF!</v>
      </c>
      <c r="AB25" s="242" t="e">
        <f>INDEX('[3]TONG HOP'!#REF!,MATCH(D25,'[3]TONG HOP'!$L$31:$L$400,0),367)</f>
        <v>#REF!</v>
      </c>
      <c r="AC25" s="202" t="e">
        <f>INDEX('[3]TONG HOP'!#REF!,MATCH(D25,'[3]TONG HOP'!$L$31:$L$400,0),364)</f>
        <v>#REF!</v>
      </c>
      <c r="AD25" s="242" t="e">
        <f>INDEX('[3]TONG HOP'!#REF!,MATCH(D25,'[3]TONG HOP'!$L$31:$L$400,0),4)</f>
        <v>#REF!</v>
      </c>
      <c r="AE25" s="243" t="e">
        <f>INDEX('[4]BIeu 03KBQT'!$A$11:$X$178,MATCH(D25,'[4]BIeu 03KBQT'!$D$11:$D$178,0),6)/1000000</f>
        <v>#REF!</v>
      </c>
      <c r="AF25" s="244" t="e">
        <f>AE25-F25</f>
        <v>#REF!</v>
      </c>
      <c r="AG25" s="203">
        <f>INDEX('[4]BIeu 03KBQT'!$A$11:$X$178,MATCH(D25,'[4]BIeu 03KBQT'!$D$11:$D$178,0),24)/1000000</f>
        <v>390.357</v>
      </c>
      <c r="AH25" s="204">
        <f>AG25-X25</f>
        <v>0</v>
      </c>
    </row>
    <row r="26" spans="1:34" s="200" customFormat="1" ht="27">
      <c r="A26" s="329">
        <v>2</v>
      </c>
      <c r="B26" s="240" t="s">
        <v>306</v>
      </c>
      <c r="C26" s="329" t="s">
        <v>305</v>
      </c>
      <c r="D26" s="241">
        <v>7613507</v>
      </c>
      <c r="E26" s="231">
        <v>1910.189</v>
      </c>
      <c r="F26" s="232">
        <v>0</v>
      </c>
      <c r="G26" s="231">
        <v>0</v>
      </c>
      <c r="H26" s="233">
        <v>0</v>
      </c>
      <c r="I26" s="231">
        <v>0</v>
      </c>
      <c r="J26" s="231">
        <v>0</v>
      </c>
      <c r="K26" s="231">
        <v>0</v>
      </c>
      <c r="L26" s="231">
        <v>0</v>
      </c>
      <c r="M26" s="231">
        <v>0</v>
      </c>
      <c r="N26" s="328"/>
      <c r="O26" s="231">
        <v>0</v>
      </c>
      <c r="P26" s="231">
        <v>23</v>
      </c>
      <c r="Q26" s="231">
        <v>22.497</v>
      </c>
      <c r="R26" s="231">
        <v>22.497</v>
      </c>
      <c r="S26" s="231">
        <v>0</v>
      </c>
      <c r="T26" s="231">
        <v>0</v>
      </c>
      <c r="U26" s="231">
        <v>0.5030000000000001</v>
      </c>
      <c r="V26" s="234">
        <v>22.497</v>
      </c>
      <c r="W26" s="231">
        <v>0</v>
      </c>
      <c r="X26" s="233">
        <v>22.497</v>
      </c>
      <c r="Y26" s="200">
        <v>0</v>
      </c>
      <c r="Z26" s="200">
        <v>22.497</v>
      </c>
      <c r="AA26" s="242" t="e">
        <f>INDEX('[3]TONG HOP'!#REF!,MATCH(D26,'[3]TONG HOP'!$L$31:$L$400,0),335)+INDEX('[3]TONG HOP'!#REF!,MATCH(D26,'[3]TONG HOP'!$L$31:$L$400,0),336)</f>
        <v>#REF!</v>
      </c>
      <c r="AB26" s="242" t="e">
        <f>INDEX('[3]TONG HOP'!#REF!,MATCH(D26,'[3]TONG HOP'!$L$31:$L$400,0),367)</f>
        <v>#REF!</v>
      </c>
      <c r="AC26" s="202" t="e">
        <f>INDEX('[3]TONG HOP'!#REF!,MATCH(D26,'[3]TONG HOP'!$L$31:$L$400,0),364)</f>
        <v>#REF!</v>
      </c>
      <c r="AD26" s="242" t="e">
        <f>INDEX('[3]TONG HOP'!#REF!,MATCH(D26,'[3]TONG HOP'!$L$31:$L$400,0),4)</f>
        <v>#REF!</v>
      </c>
      <c r="AE26" s="243" t="e">
        <f>INDEX('[4]BIeu 03KBQT'!$A$11:$X$178,MATCH(D26,'[4]BIeu 03KBQT'!$D$11:$D$178,0),6)/1000000</f>
        <v>#REF!</v>
      </c>
      <c r="AF26" s="244" t="e">
        <f>AE26-F26</f>
        <v>#REF!</v>
      </c>
      <c r="AG26" s="203">
        <f>INDEX('[4]BIeu 03KBQT'!$A$11:$X$178,MATCH(D26,'[4]BIeu 03KBQT'!$D$11:$D$178,0),24)/1000000</f>
        <v>22.497</v>
      </c>
      <c r="AH26" s="204">
        <f>AG26-X26</f>
        <v>0</v>
      </c>
    </row>
    <row r="27" spans="1:34" s="200" customFormat="1" ht="27">
      <c r="A27" s="329">
        <v>3</v>
      </c>
      <c r="B27" s="240" t="s">
        <v>307</v>
      </c>
      <c r="C27" s="329" t="s">
        <v>305</v>
      </c>
      <c r="D27" s="241">
        <v>7613510</v>
      </c>
      <c r="E27" s="231">
        <v>1983</v>
      </c>
      <c r="F27" s="232">
        <v>0</v>
      </c>
      <c r="G27" s="231">
        <v>0</v>
      </c>
      <c r="H27" s="233">
        <v>0</v>
      </c>
      <c r="I27" s="231">
        <v>0</v>
      </c>
      <c r="J27" s="231">
        <v>0</v>
      </c>
      <c r="K27" s="231">
        <v>0</v>
      </c>
      <c r="L27" s="231">
        <v>0</v>
      </c>
      <c r="M27" s="231">
        <v>0</v>
      </c>
      <c r="N27" s="328"/>
      <c r="O27" s="231">
        <v>0</v>
      </c>
      <c r="P27" s="231">
        <v>720</v>
      </c>
      <c r="Q27" s="231">
        <v>633.789</v>
      </c>
      <c r="R27" s="231">
        <v>633.789</v>
      </c>
      <c r="S27" s="231">
        <v>0</v>
      </c>
      <c r="T27" s="231">
        <v>0</v>
      </c>
      <c r="U27" s="231">
        <v>86.21100000000001</v>
      </c>
      <c r="V27" s="234">
        <v>633.789</v>
      </c>
      <c r="W27" s="231">
        <v>0</v>
      </c>
      <c r="X27" s="233">
        <v>633.789</v>
      </c>
      <c r="Y27" s="200">
        <v>0</v>
      </c>
      <c r="Z27" s="200">
        <v>633.789</v>
      </c>
      <c r="AA27" s="242" t="e">
        <f>INDEX('[3]TONG HOP'!#REF!,MATCH(D27,'[3]TONG HOP'!$L$31:$L$400,0),335)+INDEX('[3]TONG HOP'!#REF!,MATCH(D27,'[3]TONG HOP'!$L$31:$L$400,0),336)</f>
        <v>#REF!</v>
      </c>
      <c r="AB27" s="242" t="e">
        <f>INDEX('[3]TONG HOP'!#REF!,MATCH(D27,'[3]TONG HOP'!$L$31:$L$400,0),367)</f>
        <v>#REF!</v>
      </c>
      <c r="AC27" s="202" t="e">
        <f>INDEX('[3]TONG HOP'!#REF!,MATCH(D27,'[3]TONG HOP'!$L$31:$L$400,0),364)</f>
        <v>#REF!</v>
      </c>
      <c r="AD27" s="242" t="e">
        <f>INDEX('[3]TONG HOP'!#REF!,MATCH(D27,'[3]TONG HOP'!$L$31:$L$400,0),4)</f>
        <v>#REF!</v>
      </c>
      <c r="AE27" s="243" t="e">
        <f>INDEX('[4]BIeu 03KBQT'!$A$11:$X$178,MATCH(D27,'[4]BIeu 03KBQT'!$D$11:$D$178,0),6)/1000000</f>
        <v>#REF!</v>
      </c>
      <c r="AF27" s="244" t="e">
        <f>AE27-F27</f>
        <v>#REF!</v>
      </c>
      <c r="AG27" s="203">
        <f>INDEX('[4]BIeu 03KBQT'!$A$11:$X$178,MATCH(D27,'[4]BIeu 03KBQT'!$D$11:$D$178,0),24)/1000000</f>
        <v>633.789</v>
      </c>
      <c r="AH27" s="204">
        <f>AG27-X27</f>
        <v>0</v>
      </c>
    </row>
    <row r="28" spans="1:34" s="200" customFormat="1" ht="13.5">
      <c r="A28" s="329">
        <v>4</v>
      </c>
      <c r="B28" s="240" t="s">
        <v>308</v>
      </c>
      <c r="C28" s="329" t="s">
        <v>305</v>
      </c>
      <c r="D28" s="241">
        <v>7450278</v>
      </c>
      <c r="E28" s="231">
        <v>35308.833</v>
      </c>
      <c r="F28" s="232">
        <v>151.064</v>
      </c>
      <c r="G28" s="231">
        <v>0</v>
      </c>
      <c r="H28" s="233">
        <v>0</v>
      </c>
      <c r="I28" s="231">
        <v>0</v>
      </c>
      <c r="J28" s="231">
        <v>0</v>
      </c>
      <c r="K28" s="231">
        <v>0</v>
      </c>
      <c r="L28" s="231">
        <v>0</v>
      </c>
      <c r="M28" s="231">
        <v>0</v>
      </c>
      <c r="N28" s="328"/>
      <c r="O28" s="231">
        <v>0</v>
      </c>
      <c r="P28" s="231">
        <v>185</v>
      </c>
      <c r="Q28" s="231">
        <v>182.156</v>
      </c>
      <c r="R28" s="231">
        <v>182.156</v>
      </c>
      <c r="S28" s="231">
        <v>0</v>
      </c>
      <c r="T28" s="231">
        <v>0</v>
      </c>
      <c r="U28" s="231">
        <v>2.843999999999994</v>
      </c>
      <c r="V28" s="234">
        <v>182.156</v>
      </c>
      <c r="W28" s="231">
        <v>0</v>
      </c>
      <c r="X28" s="233">
        <v>333.22</v>
      </c>
      <c r="Y28" s="200">
        <v>0</v>
      </c>
      <c r="Z28" s="200">
        <v>182.156</v>
      </c>
      <c r="AA28" s="242" t="e">
        <f>INDEX('[3]TONG HOP'!#REF!,MATCH(D28,'[3]TONG HOP'!$L$31:$L$400,0),333)+INDEX('[3]TONG HOP'!#REF!,MATCH(D28,'[3]TONG HOP'!$L$31:$L$400,0),334)</f>
        <v>#REF!</v>
      </c>
      <c r="AB28" s="242" t="e">
        <f>INDEX('[3]TONG HOP'!#REF!,MATCH(D28,'[3]TONG HOP'!$L$31:$L$400,0),367)</f>
        <v>#REF!</v>
      </c>
      <c r="AC28" s="202" t="e">
        <f>INDEX('[3]TONG HOP'!#REF!,MATCH(D28,'[3]TONG HOP'!$L$31:$L$400,0),364)</f>
        <v>#REF!</v>
      </c>
      <c r="AD28" s="242" t="e">
        <f>INDEX('[3]TONG HOP'!#REF!,MATCH(D28,'[3]TONG HOP'!$L$31:$L$400,0),4)</f>
        <v>#REF!</v>
      </c>
      <c r="AE28" s="243">
        <f>INDEX('[4]BIeu 03KBQT'!$A$11:$X$178,MATCH(D28,'[4]BIeu 03KBQT'!$D$11:$D$178,0),6)/1000000</f>
        <v>151.064</v>
      </c>
      <c r="AF28" s="244">
        <f>AE28-F28</f>
        <v>0</v>
      </c>
      <c r="AG28" s="203">
        <f>INDEX('[4]BIeu 03KBQT'!$A$11:$X$178,MATCH(D28,'[4]BIeu 03KBQT'!$D$11:$D$178,0),24)/1000000</f>
        <v>333.22</v>
      </c>
      <c r="AH28" s="204">
        <f>AG28-X28</f>
        <v>0</v>
      </c>
    </row>
    <row r="29" spans="1:34" s="236" customFormat="1" ht="18.75" customHeight="1">
      <c r="A29" s="329"/>
      <c r="B29" s="239" t="s">
        <v>309</v>
      </c>
      <c r="C29" s="330"/>
      <c r="D29" s="329"/>
      <c r="E29" s="328"/>
      <c r="F29" s="205"/>
      <c r="G29" s="328"/>
      <c r="H29" s="333"/>
      <c r="I29" s="328"/>
      <c r="J29" s="328"/>
      <c r="K29" s="328"/>
      <c r="L29" s="328"/>
      <c r="M29" s="328"/>
      <c r="N29" s="328"/>
      <c r="O29" s="328"/>
      <c r="P29" s="328"/>
      <c r="Q29" s="328"/>
      <c r="R29" s="328"/>
      <c r="S29" s="328"/>
      <c r="T29" s="328"/>
      <c r="U29" s="328"/>
      <c r="V29" s="332"/>
      <c r="W29" s="328"/>
      <c r="X29" s="333"/>
      <c r="AA29" s="201"/>
      <c r="AB29" s="201"/>
      <c r="AC29" s="237"/>
      <c r="AD29" s="214"/>
      <c r="AG29" s="213"/>
      <c r="AH29" s="238"/>
    </row>
    <row r="30" spans="1:34" s="236" customFormat="1" ht="18.75" customHeight="1">
      <c r="A30" s="329"/>
      <c r="B30" s="235" t="s">
        <v>310</v>
      </c>
      <c r="C30" s="330"/>
      <c r="D30" s="329"/>
      <c r="E30" s="328"/>
      <c r="F30" s="205"/>
      <c r="G30" s="328"/>
      <c r="H30" s="333"/>
      <c r="I30" s="328"/>
      <c r="J30" s="328"/>
      <c r="K30" s="328"/>
      <c r="L30" s="328"/>
      <c r="M30" s="328"/>
      <c r="N30" s="328"/>
      <c r="O30" s="328"/>
      <c r="P30" s="328"/>
      <c r="Q30" s="328"/>
      <c r="R30" s="328"/>
      <c r="S30" s="328"/>
      <c r="T30" s="328"/>
      <c r="U30" s="328"/>
      <c r="V30" s="332"/>
      <c r="W30" s="328"/>
      <c r="X30" s="333"/>
      <c r="AA30" s="201"/>
      <c r="AB30" s="201"/>
      <c r="AC30" s="237"/>
      <c r="AD30" s="214"/>
      <c r="AG30" s="213"/>
      <c r="AH30" s="238"/>
    </row>
    <row r="31" spans="1:34" s="236" customFormat="1" ht="18.75" customHeight="1">
      <c r="A31" s="329"/>
      <c r="B31" s="235" t="s">
        <v>311</v>
      </c>
      <c r="C31" s="330"/>
      <c r="D31" s="329"/>
      <c r="E31" s="328"/>
      <c r="F31" s="205"/>
      <c r="G31" s="328"/>
      <c r="H31" s="333"/>
      <c r="I31" s="328"/>
      <c r="J31" s="328"/>
      <c r="K31" s="328"/>
      <c r="L31" s="328"/>
      <c r="M31" s="328"/>
      <c r="N31" s="328"/>
      <c r="O31" s="328"/>
      <c r="P31" s="328"/>
      <c r="Q31" s="328"/>
      <c r="R31" s="328"/>
      <c r="S31" s="328"/>
      <c r="T31" s="328"/>
      <c r="U31" s="328"/>
      <c r="V31" s="332"/>
      <c r="W31" s="328"/>
      <c r="X31" s="333"/>
      <c r="AA31" s="201"/>
      <c r="AB31" s="201"/>
      <c r="AC31" s="237"/>
      <c r="AD31" s="214"/>
      <c r="AG31" s="213"/>
      <c r="AH31" s="238"/>
    </row>
    <row r="32" spans="1:34" s="236" customFormat="1" ht="18.75" customHeight="1">
      <c r="A32" s="329"/>
      <c r="B32" s="235" t="s">
        <v>312</v>
      </c>
      <c r="C32" s="330"/>
      <c r="D32" s="329"/>
      <c r="E32" s="328"/>
      <c r="F32" s="205"/>
      <c r="G32" s="328"/>
      <c r="H32" s="333"/>
      <c r="I32" s="328"/>
      <c r="J32" s="328"/>
      <c r="K32" s="328"/>
      <c r="L32" s="328"/>
      <c r="M32" s="328"/>
      <c r="N32" s="328"/>
      <c r="O32" s="328"/>
      <c r="P32" s="328"/>
      <c r="Q32" s="328"/>
      <c r="R32" s="328"/>
      <c r="S32" s="328"/>
      <c r="T32" s="328"/>
      <c r="U32" s="328"/>
      <c r="V32" s="332"/>
      <c r="W32" s="328"/>
      <c r="X32" s="333"/>
      <c r="AA32" s="201"/>
      <c r="AB32" s="201"/>
      <c r="AC32" s="237"/>
      <c r="AD32" s="214"/>
      <c r="AG32" s="213"/>
      <c r="AH32" s="238"/>
    </row>
    <row r="33" spans="1:34" s="236" customFormat="1" ht="18.75" customHeight="1">
      <c r="A33" s="329"/>
      <c r="B33" s="235" t="s">
        <v>313</v>
      </c>
      <c r="C33" s="330"/>
      <c r="D33" s="329"/>
      <c r="E33" s="328"/>
      <c r="F33" s="205"/>
      <c r="G33" s="328"/>
      <c r="H33" s="333"/>
      <c r="I33" s="328"/>
      <c r="J33" s="328"/>
      <c r="K33" s="328"/>
      <c r="L33" s="328"/>
      <c r="M33" s="328"/>
      <c r="N33" s="328"/>
      <c r="O33" s="328"/>
      <c r="P33" s="328"/>
      <c r="Q33" s="328"/>
      <c r="R33" s="328"/>
      <c r="S33" s="328"/>
      <c r="T33" s="328"/>
      <c r="U33" s="328"/>
      <c r="V33" s="332"/>
      <c r="W33" s="328"/>
      <c r="X33" s="333"/>
      <c r="AA33" s="201"/>
      <c r="AB33" s="201"/>
      <c r="AC33" s="237"/>
      <c r="AD33" s="214"/>
      <c r="AG33" s="213"/>
      <c r="AH33" s="238"/>
    </row>
    <row r="34" spans="1:34" s="200" customFormat="1" ht="18.75" customHeight="1">
      <c r="A34" s="329">
        <v>2</v>
      </c>
      <c r="B34" s="215" t="s">
        <v>314</v>
      </c>
      <c r="C34" s="330"/>
      <c r="D34" s="329"/>
      <c r="E34" s="328">
        <v>302540.05799999996</v>
      </c>
      <c r="F34" s="205">
        <v>83938.498</v>
      </c>
      <c r="G34" s="328">
        <v>4324.321</v>
      </c>
      <c r="H34" s="333">
        <v>333.557</v>
      </c>
      <c r="I34" s="328">
        <v>3990.764</v>
      </c>
      <c r="J34" s="328">
        <v>16306</v>
      </c>
      <c r="K34" s="328">
        <v>15917.934</v>
      </c>
      <c r="L34" s="328">
        <v>15882.953</v>
      </c>
      <c r="M34" s="328">
        <v>34.981</v>
      </c>
      <c r="N34" s="328">
        <v>0</v>
      </c>
      <c r="O34" s="328">
        <v>388.06599999999975</v>
      </c>
      <c r="P34" s="328">
        <v>62452</v>
      </c>
      <c r="Q34" s="328">
        <v>55121.053</v>
      </c>
      <c r="R34" s="328">
        <v>40924.235</v>
      </c>
      <c r="S34" s="328">
        <v>14196.817999999997</v>
      </c>
      <c r="T34" s="328">
        <v>1000</v>
      </c>
      <c r="U34" s="328">
        <v>6330.947000000004</v>
      </c>
      <c r="V34" s="332">
        <v>60797.952</v>
      </c>
      <c r="W34" s="328">
        <v>14231.798999999997</v>
      </c>
      <c r="X34" s="333">
        <v>154643.928</v>
      </c>
      <c r="AA34" s="201"/>
      <c r="AB34" s="201"/>
      <c r="AC34" s="202"/>
      <c r="AD34" s="214"/>
      <c r="AG34" s="203"/>
      <c r="AH34" s="204"/>
    </row>
    <row r="35" spans="1:34" s="236" customFormat="1" ht="27.75" customHeight="1">
      <c r="A35" s="329"/>
      <c r="B35" s="235" t="s">
        <v>299</v>
      </c>
      <c r="C35" s="330"/>
      <c r="D35" s="329"/>
      <c r="E35" s="328">
        <v>30035</v>
      </c>
      <c r="F35" s="205">
        <v>0</v>
      </c>
      <c r="G35" s="328">
        <v>0</v>
      </c>
      <c r="H35" s="333">
        <v>0</v>
      </c>
      <c r="I35" s="328">
        <v>0</v>
      </c>
      <c r="J35" s="328">
        <v>0</v>
      </c>
      <c r="K35" s="328">
        <v>0</v>
      </c>
      <c r="L35" s="328">
        <v>0</v>
      </c>
      <c r="M35" s="328">
        <v>0</v>
      </c>
      <c r="N35" s="328">
        <v>0</v>
      </c>
      <c r="O35" s="328">
        <v>0</v>
      </c>
      <c r="P35" s="328">
        <v>5074.625</v>
      </c>
      <c r="Q35" s="328">
        <v>4215.209</v>
      </c>
      <c r="R35" s="328">
        <v>1892.5819999999999</v>
      </c>
      <c r="S35" s="328">
        <v>2322.627</v>
      </c>
      <c r="T35" s="328">
        <v>0</v>
      </c>
      <c r="U35" s="328">
        <v>859.4159999999999</v>
      </c>
      <c r="V35" s="332">
        <v>1892.5819999999999</v>
      </c>
      <c r="W35" s="328">
        <v>2322.627</v>
      </c>
      <c r="X35" s="333">
        <v>4215.209</v>
      </c>
      <c r="AA35" s="201"/>
      <c r="AB35" s="201"/>
      <c r="AC35" s="237"/>
      <c r="AD35" s="214"/>
      <c r="AG35" s="213"/>
      <c r="AH35" s="238"/>
    </row>
    <row r="36" spans="1:34" s="200" customFormat="1" ht="27.75" customHeight="1">
      <c r="A36" s="329"/>
      <c r="B36" s="240" t="s">
        <v>315</v>
      </c>
      <c r="C36" s="329" t="s">
        <v>305</v>
      </c>
      <c r="D36" s="241">
        <v>7561460</v>
      </c>
      <c r="E36" s="231">
        <v>10577</v>
      </c>
      <c r="F36" s="232">
        <v>0</v>
      </c>
      <c r="G36" s="231">
        <v>0</v>
      </c>
      <c r="H36" s="233">
        <v>0</v>
      </c>
      <c r="I36" s="231">
        <v>0</v>
      </c>
      <c r="J36" s="231"/>
      <c r="K36" s="231">
        <v>0</v>
      </c>
      <c r="L36" s="328"/>
      <c r="M36" s="328"/>
      <c r="N36" s="328"/>
      <c r="O36" s="231">
        <v>0</v>
      </c>
      <c r="P36" s="231">
        <v>3000</v>
      </c>
      <c r="Q36" s="231">
        <v>3000</v>
      </c>
      <c r="R36" s="231">
        <v>1653.445</v>
      </c>
      <c r="S36" s="231">
        <v>1346.555</v>
      </c>
      <c r="T36" s="328"/>
      <c r="U36" s="231">
        <v>0</v>
      </c>
      <c r="V36" s="234">
        <v>1653.445</v>
      </c>
      <c r="W36" s="231">
        <v>1346.555</v>
      </c>
      <c r="X36" s="233">
        <v>3000</v>
      </c>
      <c r="Y36" s="200">
        <v>1346.555</v>
      </c>
      <c r="Z36" s="200">
        <v>3000</v>
      </c>
      <c r="AA36" s="242" t="e">
        <f>INDEX('[3]TONG HOP'!#REF!,MATCH(D36,'[3]TONG HOP'!$L$31:$L$400,0),335)+INDEX('[3]TONG HOP'!#REF!,MATCH(D36,'[3]TONG HOP'!$L$31:$L$400,0),336)</f>
        <v>#REF!</v>
      </c>
      <c r="AB36" s="242" t="e">
        <f>INDEX('[3]TONG HOP'!#REF!,MATCH(D36,'[3]TONG HOP'!$L$31:$L$400,0),367)</f>
        <v>#REF!</v>
      </c>
      <c r="AC36" s="202" t="e">
        <f>INDEX('[3]TONG HOP'!#REF!,MATCH(D36,'[3]TONG HOP'!$L$31:$L$400,0),364)</f>
        <v>#REF!</v>
      </c>
      <c r="AD36" s="242" t="e">
        <f>INDEX('[3]TONG HOP'!#REF!,MATCH(D36,'[3]TONG HOP'!$L$31:$L$400,0),4)</f>
        <v>#REF!</v>
      </c>
      <c r="AE36" s="245" t="e">
        <f>INDEX('[4]BIeu 03KBQT'!$A$11:$X$178,MATCH(D36,'[4]BIeu 03KBQT'!$D$11:$D$178,0),6)/1000000</f>
        <v>#REF!</v>
      </c>
      <c r="AF36" s="244" t="e">
        <f aca="true" t="shared" si="0" ref="AF36:AF42">AE36-F36</f>
        <v>#REF!</v>
      </c>
      <c r="AG36" s="203">
        <f>INDEX('[4]BIeu 03KBQT'!$A$11:$X$178,MATCH(D36,'[4]BIeu 03KBQT'!$D$11:$D$178,0),24)/1000000</f>
        <v>3000</v>
      </c>
      <c r="AH36" s="204">
        <f>AG36-X36</f>
        <v>0</v>
      </c>
    </row>
    <row r="37" spans="1:34" s="200" customFormat="1" ht="27.75" customHeight="1">
      <c r="A37" s="329"/>
      <c r="B37" s="240" t="s">
        <v>316</v>
      </c>
      <c r="C37" s="329" t="s">
        <v>305</v>
      </c>
      <c r="D37" s="241">
        <v>7590549</v>
      </c>
      <c r="E37" s="231">
        <v>4463</v>
      </c>
      <c r="F37" s="232">
        <v>0</v>
      </c>
      <c r="G37" s="231">
        <v>0</v>
      </c>
      <c r="H37" s="233">
        <v>0</v>
      </c>
      <c r="I37" s="231">
        <v>0</v>
      </c>
      <c r="J37" s="231"/>
      <c r="K37" s="231">
        <v>0</v>
      </c>
      <c r="L37" s="328"/>
      <c r="M37" s="328"/>
      <c r="N37" s="328"/>
      <c r="O37" s="231">
        <v>0</v>
      </c>
      <c r="P37" s="231">
        <v>2000</v>
      </c>
      <c r="Q37" s="231">
        <v>1140.584</v>
      </c>
      <c r="R37" s="231">
        <v>164.51200000000006</v>
      </c>
      <c r="S37" s="231">
        <v>976.072</v>
      </c>
      <c r="T37" s="328"/>
      <c r="U37" s="231">
        <v>859.4159999999999</v>
      </c>
      <c r="V37" s="234">
        <v>164.51200000000006</v>
      </c>
      <c r="W37" s="231">
        <v>976.072</v>
      </c>
      <c r="X37" s="233">
        <v>1140.584</v>
      </c>
      <c r="Y37" s="200">
        <v>976.072</v>
      </c>
      <c r="Z37" s="200">
        <v>1140.584</v>
      </c>
      <c r="AA37" s="242" t="e">
        <f>INDEX('[3]TONG HOP'!#REF!,MATCH(D37,'[3]TONG HOP'!$L$31:$L$400,0),335)+INDEX('[3]TONG HOP'!#REF!,MATCH(D37,'[3]TONG HOP'!$L$31:$L$400,0),336)</f>
        <v>#REF!</v>
      </c>
      <c r="AB37" s="242" t="e">
        <f>INDEX('[3]TONG HOP'!#REF!,MATCH(D37,'[3]TONG HOP'!$L$31:$L$400,0),367)</f>
        <v>#REF!</v>
      </c>
      <c r="AC37" s="202" t="e">
        <f>INDEX('[3]TONG HOP'!#REF!,MATCH(D37,'[3]TONG HOP'!$L$31:$L$400,0),364)</f>
        <v>#REF!</v>
      </c>
      <c r="AD37" s="242" t="e">
        <f>INDEX('[3]TONG HOP'!#REF!,MATCH(D37,'[3]TONG HOP'!$L$31:$L$400,0),4)</f>
        <v>#REF!</v>
      </c>
      <c r="AE37" s="245" t="e">
        <f>INDEX('[4]BIeu 03KBQT'!$A$11:$X$178,MATCH(D37,'[4]BIeu 03KBQT'!$D$11:$D$178,0),6)/1000000</f>
        <v>#REF!</v>
      </c>
      <c r="AF37" s="244" t="e">
        <f t="shared" si="0"/>
        <v>#REF!</v>
      </c>
      <c r="AG37" s="203">
        <f>INDEX('[4]BIeu 03KBQT'!$A$11:$X$178,MATCH(D37,'[4]BIeu 03KBQT'!$D$11:$D$178,0),24)/1000000</f>
        <v>1140.584</v>
      </c>
      <c r="AH37" s="204">
        <f>AG37-X37</f>
        <v>0</v>
      </c>
    </row>
    <row r="38" spans="1:34" s="200" customFormat="1" ht="27.75" customHeight="1">
      <c r="A38" s="329">
        <v>5</v>
      </c>
      <c r="B38" s="240" t="s">
        <v>317</v>
      </c>
      <c r="C38" s="329" t="s">
        <v>305</v>
      </c>
      <c r="D38" s="241">
        <v>7427503</v>
      </c>
      <c r="E38" s="231">
        <v>14995</v>
      </c>
      <c r="F38" s="232">
        <v>0</v>
      </c>
      <c r="G38" s="231">
        <v>0</v>
      </c>
      <c r="H38" s="233">
        <v>0</v>
      </c>
      <c r="I38" s="231">
        <v>0</v>
      </c>
      <c r="J38" s="231"/>
      <c r="K38" s="231">
        <v>0</v>
      </c>
      <c r="L38" s="328"/>
      <c r="M38" s="328"/>
      <c r="N38" s="328"/>
      <c r="O38" s="231">
        <v>0</v>
      </c>
      <c r="P38" s="231">
        <v>74.625</v>
      </c>
      <c r="Q38" s="231">
        <v>74.625</v>
      </c>
      <c r="R38" s="231">
        <v>74.625</v>
      </c>
      <c r="S38" s="231">
        <v>0</v>
      </c>
      <c r="T38" s="328"/>
      <c r="U38" s="231">
        <v>0</v>
      </c>
      <c r="V38" s="234">
        <v>74.625</v>
      </c>
      <c r="W38" s="231">
        <v>0</v>
      </c>
      <c r="X38" s="233">
        <v>74.625</v>
      </c>
      <c r="Y38" s="200">
        <v>0</v>
      </c>
      <c r="Z38" s="200">
        <v>74.625</v>
      </c>
      <c r="AA38" s="242" t="e">
        <f>INDEX('[3]TONG HOP'!#REF!,MATCH(D38,'[3]TONG HOP'!$L$31:$L$400,0),335)+INDEX('[3]TONG HOP'!#REF!,MATCH(D38,'[3]TONG HOP'!$L$31:$L$400,0),336)</f>
        <v>#REF!</v>
      </c>
      <c r="AB38" s="242" t="e">
        <f>INDEX('[3]TONG HOP'!#REF!,MATCH(D38,'[3]TONG HOP'!$L$31:$L$400,0),367)</f>
        <v>#REF!</v>
      </c>
      <c r="AC38" s="202">
        <f>X38</f>
        <v>74.625</v>
      </c>
      <c r="AD38" s="242" t="e">
        <f>INDEX('[3]TONG HOP'!#REF!,MATCH(D38,'[3]TONG HOP'!$L$31:$L$400,0),4)</f>
        <v>#REF!</v>
      </c>
      <c r="AE38" s="245"/>
      <c r="AF38" s="244"/>
      <c r="AG38" s="203">
        <v>74.625</v>
      </c>
      <c r="AH38" s="204">
        <f>AG38-X38</f>
        <v>0</v>
      </c>
    </row>
    <row r="39" spans="1:34" s="236" customFormat="1" ht="13.5">
      <c r="A39" s="329"/>
      <c r="B39" s="235" t="s">
        <v>300</v>
      </c>
      <c r="C39" s="330"/>
      <c r="D39" s="329"/>
      <c r="E39" s="328"/>
      <c r="F39" s="205"/>
      <c r="G39" s="328"/>
      <c r="H39" s="333"/>
      <c r="I39" s="328"/>
      <c r="J39" s="328"/>
      <c r="K39" s="328"/>
      <c r="L39" s="328"/>
      <c r="M39" s="328"/>
      <c r="N39" s="328"/>
      <c r="O39" s="328"/>
      <c r="P39" s="328"/>
      <c r="Q39" s="328"/>
      <c r="R39" s="328"/>
      <c r="S39" s="328"/>
      <c r="T39" s="328"/>
      <c r="U39" s="328"/>
      <c r="V39" s="332"/>
      <c r="W39" s="328"/>
      <c r="X39" s="333"/>
      <c r="AA39" s="201"/>
      <c r="AB39" s="201"/>
      <c r="AC39" s="237"/>
      <c r="AD39" s="214"/>
      <c r="AG39" s="213"/>
      <c r="AH39" s="238"/>
    </row>
    <row r="40" spans="1:34" s="236" customFormat="1" ht="13.5">
      <c r="A40" s="329"/>
      <c r="B40" s="235" t="s">
        <v>301</v>
      </c>
      <c r="C40" s="330"/>
      <c r="D40" s="329"/>
      <c r="E40" s="328">
        <v>10790.198</v>
      </c>
      <c r="F40" s="205">
        <v>904.75</v>
      </c>
      <c r="G40" s="328">
        <v>0</v>
      </c>
      <c r="H40" s="333">
        <v>0</v>
      </c>
      <c r="I40" s="328">
        <v>0</v>
      </c>
      <c r="J40" s="328">
        <v>0</v>
      </c>
      <c r="K40" s="328">
        <v>0</v>
      </c>
      <c r="L40" s="328">
        <v>0</v>
      </c>
      <c r="M40" s="328">
        <v>0</v>
      </c>
      <c r="N40" s="328">
        <v>0</v>
      </c>
      <c r="O40" s="328">
        <v>0</v>
      </c>
      <c r="P40" s="328">
        <v>7413.193</v>
      </c>
      <c r="Q40" s="328">
        <v>7074.668000000001</v>
      </c>
      <c r="R40" s="328">
        <v>7054.696000000001</v>
      </c>
      <c r="S40" s="328">
        <v>19.972</v>
      </c>
      <c r="T40" s="328">
        <v>0</v>
      </c>
      <c r="U40" s="328">
        <v>338.52499999999964</v>
      </c>
      <c r="V40" s="332">
        <v>7054.696000000001</v>
      </c>
      <c r="W40" s="328">
        <v>19.972</v>
      </c>
      <c r="X40" s="333">
        <v>7979.418000000001</v>
      </c>
      <c r="AA40" s="201"/>
      <c r="AB40" s="201"/>
      <c r="AC40" s="237"/>
      <c r="AD40" s="214"/>
      <c r="AF40" s="244"/>
      <c r="AG40" s="213"/>
      <c r="AH40" s="238"/>
    </row>
    <row r="41" spans="1:34" s="200" customFormat="1" ht="38.25" customHeight="1">
      <c r="A41" s="329">
        <v>6</v>
      </c>
      <c r="B41" s="240" t="s">
        <v>318</v>
      </c>
      <c r="C41" s="329" t="s">
        <v>305</v>
      </c>
      <c r="D41" s="241">
        <v>7481907</v>
      </c>
      <c r="E41" s="231">
        <v>1039.936</v>
      </c>
      <c r="F41" s="232"/>
      <c r="G41" s="231"/>
      <c r="H41" s="233">
        <v>0</v>
      </c>
      <c r="I41" s="231">
        <v>0</v>
      </c>
      <c r="J41" s="231"/>
      <c r="K41" s="231">
        <v>0</v>
      </c>
      <c r="L41" s="328"/>
      <c r="M41" s="328"/>
      <c r="N41" s="328"/>
      <c r="O41" s="231">
        <v>0</v>
      </c>
      <c r="P41" s="231">
        <v>4.598</v>
      </c>
      <c r="Q41" s="231">
        <v>4.598</v>
      </c>
      <c r="R41" s="231">
        <v>4.598</v>
      </c>
      <c r="S41" s="231"/>
      <c r="T41" s="328"/>
      <c r="U41" s="231">
        <v>0</v>
      </c>
      <c r="V41" s="234">
        <v>4.598</v>
      </c>
      <c r="W41" s="231">
        <v>0</v>
      </c>
      <c r="X41" s="233">
        <v>4.598</v>
      </c>
      <c r="Y41" s="200">
        <v>0</v>
      </c>
      <c r="Z41" s="200">
        <v>4.598</v>
      </c>
      <c r="AA41" s="242" t="e">
        <f>INDEX('[3]TONG HOP'!#REF!,MATCH(D41,'[3]TONG HOP'!$L$31:$L$400,0),335)+INDEX('[3]TONG HOP'!#REF!,MATCH(D41,'[3]TONG HOP'!$L$31:$L$400,0),336)</f>
        <v>#REF!</v>
      </c>
      <c r="AB41" s="242" t="e">
        <f>INDEX('[3]TONG HOP'!#REF!,MATCH(D41,'[3]TONG HOP'!$L$31:$L$400,0),367)</f>
        <v>#REF!</v>
      </c>
      <c r="AC41" s="231">
        <v>4.598</v>
      </c>
      <c r="AD41" s="242" t="e">
        <f>INDEX('[3]TONG HOP'!#REF!,MATCH(D41,'[3]TONG HOP'!$L$31:$L$400,0),4)</f>
        <v>#REF!</v>
      </c>
      <c r="AE41" s="245"/>
      <c r="AF41" s="244"/>
      <c r="AG41" s="203">
        <v>4.598</v>
      </c>
      <c r="AH41" s="204">
        <f>AG41-X41</f>
        <v>0</v>
      </c>
    </row>
    <row r="42" spans="1:34" s="200" customFormat="1" ht="38.25" customHeight="1">
      <c r="A42" s="329">
        <v>7</v>
      </c>
      <c r="B42" s="240" t="s">
        <v>319</v>
      </c>
      <c r="C42" s="329" t="s">
        <v>305</v>
      </c>
      <c r="D42" s="241">
        <v>7613377</v>
      </c>
      <c r="E42" s="231">
        <v>8815.138</v>
      </c>
      <c r="F42" s="232">
        <v>0</v>
      </c>
      <c r="G42" s="231">
        <v>0</v>
      </c>
      <c r="H42" s="233">
        <v>0</v>
      </c>
      <c r="I42" s="231">
        <v>0</v>
      </c>
      <c r="J42" s="231"/>
      <c r="K42" s="231">
        <v>0</v>
      </c>
      <c r="L42" s="328"/>
      <c r="M42" s="328"/>
      <c r="N42" s="328"/>
      <c r="O42" s="231">
        <v>0</v>
      </c>
      <c r="P42" s="231">
        <v>7400</v>
      </c>
      <c r="Q42" s="231">
        <v>7061.475</v>
      </c>
      <c r="R42" s="231">
        <v>7041.503000000001</v>
      </c>
      <c r="S42" s="231">
        <v>19.972</v>
      </c>
      <c r="T42" s="328"/>
      <c r="U42" s="231">
        <v>338.52499999999964</v>
      </c>
      <c r="V42" s="234">
        <v>7041.503000000001</v>
      </c>
      <c r="W42" s="231">
        <v>19.972</v>
      </c>
      <c r="X42" s="233">
        <v>7061.475</v>
      </c>
      <c r="Y42" s="200">
        <v>19.972</v>
      </c>
      <c r="Z42" s="200">
        <v>7061.475</v>
      </c>
      <c r="AA42" s="242" t="e">
        <f>INDEX('[3]TONG HOP'!#REF!,MATCH(D42,'[3]TONG HOP'!$L$31:$L$400,0),335)+INDEX('[3]TONG HOP'!#REF!,MATCH(D42,'[3]TONG HOP'!$L$31:$L$400,0),336)</f>
        <v>#REF!</v>
      </c>
      <c r="AB42" s="242" t="e">
        <f>INDEX('[3]TONG HOP'!#REF!,MATCH(D42,'[3]TONG HOP'!$L$31:$L$400,0),367)</f>
        <v>#REF!</v>
      </c>
      <c r="AC42" s="202" t="e">
        <f>INDEX('[3]TONG HOP'!#REF!,MATCH(D42,'[3]TONG HOP'!$L$31:$L$400,0),364)</f>
        <v>#REF!</v>
      </c>
      <c r="AD42" s="242" t="e">
        <f>INDEX('[3]TONG HOP'!#REF!,MATCH(D42,'[3]TONG HOP'!$L$31:$L$400,0),4)</f>
        <v>#REF!</v>
      </c>
      <c r="AE42" s="245" t="e">
        <f>INDEX('[4]BIeu 03KBQT'!$A$11:$X$178,MATCH(D42,'[4]BIeu 03KBQT'!$D$11:$D$178,0),6)/1000000</f>
        <v>#REF!</v>
      </c>
      <c r="AF42" s="244" t="e">
        <f t="shared" si="0"/>
        <v>#REF!</v>
      </c>
      <c r="AG42" s="203">
        <f>INDEX('[4]BIeu 03KBQT'!$A$11:$X$178,MATCH(D42,'[4]BIeu 03KBQT'!$D$11:$D$178,0),24)/1000000</f>
        <v>7061.475</v>
      </c>
      <c r="AH42" s="204">
        <f aca="true" t="shared" si="1" ref="AH42:AH90">AG42-X42</f>
        <v>0</v>
      </c>
    </row>
    <row r="43" spans="1:34" s="200" customFormat="1" ht="38.25" customHeight="1">
      <c r="A43" s="329">
        <v>8</v>
      </c>
      <c r="B43" s="240" t="s">
        <v>320</v>
      </c>
      <c r="C43" s="329" t="s">
        <v>305</v>
      </c>
      <c r="D43" s="241">
        <v>7318735</v>
      </c>
      <c r="E43" s="231">
        <v>935.124</v>
      </c>
      <c r="F43" s="232">
        <v>904.75</v>
      </c>
      <c r="G43" s="231">
        <v>0</v>
      </c>
      <c r="H43" s="233">
        <v>0</v>
      </c>
      <c r="I43" s="231">
        <v>0</v>
      </c>
      <c r="J43" s="231"/>
      <c r="K43" s="231">
        <v>0</v>
      </c>
      <c r="L43" s="328"/>
      <c r="M43" s="328"/>
      <c r="N43" s="328"/>
      <c r="O43" s="231">
        <v>0</v>
      </c>
      <c r="P43" s="231">
        <v>8.595</v>
      </c>
      <c r="Q43" s="231">
        <v>8.595</v>
      </c>
      <c r="R43" s="231">
        <v>8.595</v>
      </c>
      <c r="S43" s="328"/>
      <c r="T43" s="328"/>
      <c r="U43" s="231">
        <v>0</v>
      </c>
      <c r="V43" s="234">
        <v>8.595</v>
      </c>
      <c r="W43" s="231">
        <v>0</v>
      </c>
      <c r="X43" s="233">
        <v>913.345</v>
      </c>
      <c r="Y43" s="200">
        <v>0</v>
      </c>
      <c r="Z43" s="200">
        <v>8.595</v>
      </c>
      <c r="AA43" s="242" t="e">
        <f>INDEX('[3]TONG HOP'!#REF!,MATCH(D43,'[3]TONG HOP'!$L$31:$L$400,0),335)+INDEX('[3]TONG HOP'!#REF!,MATCH(D43,'[3]TONG HOP'!$L$31:$L$400,0),336)</f>
        <v>#REF!</v>
      </c>
      <c r="AB43" s="242" t="e">
        <f>INDEX('[3]TONG HOP'!#REF!,MATCH(D43,'[3]TONG HOP'!$L$31:$L$400,0),367)</f>
        <v>#REF!</v>
      </c>
      <c r="AC43" s="202" t="e">
        <f>INDEX('[3]TONG HOP'!#REF!,MATCH(D43,'[3]TONG HOP'!$L$31:$L$400,0),364)</f>
        <v>#REF!</v>
      </c>
      <c r="AD43" s="242" t="e">
        <f>INDEX('[3]TONG HOP'!#REF!,MATCH(D43,'[3]TONG HOP'!$L$31:$L$400,0),4)</f>
        <v>#REF!</v>
      </c>
      <c r="AE43" s="245">
        <f>INDEX('[4]BIeu 03KBQT'!$A$11:$X$178,MATCH(D43,'[4]BIeu 03KBQT'!$D$11:$D$178,0),6)/1000000</f>
        <v>904.75</v>
      </c>
      <c r="AF43" s="244">
        <f>AE43-F43</f>
        <v>0</v>
      </c>
      <c r="AG43" s="203">
        <f>INDEX('[4]BIeu 03KBQT'!$A$11:$X$178,MATCH(D43,'[4]BIeu 03KBQT'!$D$11:$D$178,0),24)/1000000</f>
        <v>913.345</v>
      </c>
      <c r="AH43" s="204">
        <f t="shared" si="1"/>
        <v>0</v>
      </c>
    </row>
    <row r="44" spans="1:34" s="236" customFormat="1" ht="28.5" customHeight="1">
      <c r="A44" s="329"/>
      <c r="B44" s="239" t="s">
        <v>302</v>
      </c>
      <c r="C44" s="330"/>
      <c r="D44" s="329"/>
      <c r="E44" s="328">
        <v>70335.887</v>
      </c>
      <c r="F44" s="205">
        <v>19304.237</v>
      </c>
      <c r="G44" s="328">
        <v>892.591</v>
      </c>
      <c r="H44" s="333">
        <v>187.716</v>
      </c>
      <c r="I44" s="328">
        <v>704.875</v>
      </c>
      <c r="J44" s="328">
        <v>7465</v>
      </c>
      <c r="K44" s="328">
        <v>7372.903</v>
      </c>
      <c r="L44" s="328">
        <v>7372.903</v>
      </c>
      <c r="M44" s="328">
        <v>0</v>
      </c>
      <c r="N44" s="328">
        <v>0</v>
      </c>
      <c r="O44" s="328">
        <v>92.09699999999975</v>
      </c>
      <c r="P44" s="328">
        <v>6226.85</v>
      </c>
      <c r="Q44" s="328">
        <v>4849.976000000001</v>
      </c>
      <c r="R44" s="328">
        <v>4074.0139999999997</v>
      </c>
      <c r="S44" s="328">
        <v>775.962</v>
      </c>
      <c r="T44" s="328">
        <v>0</v>
      </c>
      <c r="U44" s="328">
        <v>1376.874</v>
      </c>
      <c r="V44" s="332">
        <v>12151.792000000001</v>
      </c>
      <c r="W44" s="328">
        <v>775.962</v>
      </c>
      <c r="X44" s="333">
        <v>31339.4</v>
      </c>
      <c r="AA44" s="201"/>
      <c r="AB44" s="201"/>
      <c r="AC44" s="237"/>
      <c r="AD44" s="214"/>
      <c r="AG44" s="213"/>
      <c r="AH44" s="238"/>
    </row>
    <row r="45" spans="1:34" s="200" customFormat="1" ht="28.5" customHeight="1">
      <c r="A45" s="329">
        <v>9</v>
      </c>
      <c r="B45" s="240" t="s">
        <v>321</v>
      </c>
      <c r="C45" s="329" t="s">
        <v>305</v>
      </c>
      <c r="D45" s="241">
        <v>7424352</v>
      </c>
      <c r="E45" s="231">
        <v>2921</v>
      </c>
      <c r="F45" s="232">
        <v>1158.486</v>
      </c>
      <c r="G45" s="231">
        <v>15</v>
      </c>
      <c r="H45" s="233">
        <v>0</v>
      </c>
      <c r="I45" s="231">
        <v>15</v>
      </c>
      <c r="J45" s="231"/>
      <c r="K45" s="231">
        <v>0</v>
      </c>
      <c r="L45" s="328"/>
      <c r="M45" s="328"/>
      <c r="N45" s="328"/>
      <c r="O45" s="231">
        <v>0</v>
      </c>
      <c r="P45" s="231">
        <v>100</v>
      </c>
      <c r="Q45" s="231">
        <v>100</v>
      </c>
      <c r="R45" s="231">
        <v>100</v>
      </c>
      <c r="S45" s="328"/>
      <c r="T45" s="328"/>
      <c r="U45" s="231">
        <v>0</v>
      </c>
      <c r="V45" s="234">
        <v>115</v>
      </c>
      <c r="W45" s="231">
        <v>0</v>
      </c>
      <c r="X45" s="233">
        <v>1258.486</v>
      </c>
      <c r="Y45" s="200">
        <v>0</v>
      </c>
      <c r="Z45" s="200">
        <v>100</v>
      </c>
      <c r="AA45" s="242" t="e">
        <f>INDEX('[3]TONG HOP'!#REF!,MATCH(D45,'[3]TONG HOP'!$L$31:$L$400,0),335)+INDEX('[3]TONG HOP'!#REF!,MATCH(D45,'[3]TONG HOP'!$L$31:$L$400,0),336)</f>
        <v>#REF!</v>
      </c>
      <c r="AB45" s="242" t="e">
        <f>INDEX('[3]TONG HOP'!#REF!,MATCH(D45,'[3]TONG HOP'!$L$31:$L$400,0),367)</f>
        <v>#REF!</v>
      </c>
      <c r="AC45" s="202" t="e">
        <f>INDEX('[3]TONG HOP'!#REF!,MATCH(D45,'[3]TONG HOP'!$L$31:$L$400,0),364)</f>
        <v>#REF!</v>
      </c>
      <c r="AD45" s="242" t="e">
        <f>INDEX('[3]TONG HOP'!#REF!,MATCH(D45,'[3]TONG HOP'!$L$31:$L$400,0),4)</f>
        <v>#REF!</v>
      </c>
      <c r="AE45" s="245">
        <f>INDEX('[4]BIeu 03KBQT'!$A$11:$X$178,MATCH(D45,'[4]BIeu 03KBQT'!$D$11:$D$178,0),6)/1000000</f>
        <v>1158.486</v>
      </c>
      <c r="AF45" s="244">
        <f>AE45-F45</f>
        <v>0</v>
      </c>
      <c r="AG45" s="203">
        <f>INDEX('[4]BIeu 03KBQT'!$A$11:$X$178,MATCH(D45,'[4]BIeu 03KBQT'!$D$11:$D$178,0),24)/1000000</f>
        <v>1258.486</v>
      </c>
      <c r="AH45" s="204">
        <f t="shared" si="1"/>
        <v>0</v>
      </c>
    </row>
    <row r="46" spans="1:34" s="200" customFormat="1" ht="28.5" customHeight="1">
      <c r="A46" s="329">
        <v>10</v>
      </c>
      <c r="B46" s="240" t="s">
        <v>322</v>
      </c>
      <c r="C46" s="329" t="s">
        <v>305</v>
      </c>
      <c r="D46" s="241">
        <v>7527631</v>
      </c>
      <c r="E46" s="231">
        <v>6413</v>
      </c>
      <c r="F46" s="232">
        <v>2793.644</v>
      </c>
      <c r="G46" s="231">
        <v>342</v>
      </c>
      <c r="H46" s="233">
        <v>0</v>
      </c>
      <c r="I46" s="231">
        <v>342</v>
      </c>
      <c r="J46" s="231"/>
      <c r="K46" s="231">
        <v>0</v>
      </c>
      <c r="L46" s="328"/>
      <c r="M46" s="328"/>
      <c r="N46" s="328"/>
      <c r="O46" s="231">
        <v>0</v>
      </c>
      <c r="P46" s="231">
        <v>250</v>
      </c>
      <c r="Q46" s="231">
        <v>244.376</v>
      </c>
      <c r="R46" s="231">
        <v>244.376</v>
      </c>
      <c r="S46" s="328"/>
      <c r="T46" s="328"/>
      <c r="U46" s="231">
        <v>5.623999999999995</v>
      </c>
      <c r="V46" s="234">
        <v>586.376</v>
      </c>
      <c r="W46" s="231">
        <v>0</v>
      </c>
      <c r="X46" s="233">
        <v>3038.02</v>
      </c>
      <c r="Y46" s="200">
        <v>0</v>
      </c>
      <c r="Z46" s="200">
        <v>244.376</v>
      </c>
      <c r="AA46" s="242" t="e">
        <f>INDEX('[3]TONG HOP'!#REF!,MATCH(D46,'[3]TONG HOP'!$L$31:$L$400,0),335)+INDEX('[3]TONG HOP'!#REF!,MATCH(D46,'[3]TONG HOP'!$L$31:$L$400,0),336)</f>
        <v>#REF!</v>
      </c>
      <c r="AB46" s="242" t="e">
        <f>INDEX('[3]TONG HOP'!#REF!,MATCH(D46,'[3]TONG HOP'!$L$31:$L$400,0),367)</f>
        <v>#REF!</v>
      </c>
      <c r="AC46" s="202" t="e">
        <f>INDEX('[3]TONG HOP'!#REF!,MATCH(D46,'[3]TONG HOP'!$L$31:$L$400,0),364)</f>
        <v>#REF!</v>
      </c>
      <c r="AD46" s="242" t="e">
        <f>INDEX('[3]TONG HOP'!#REF!,MATCH(D46,'[3]TONG HOP'!$L$31:$L$400,0),4)</f>
        <v>#REF!</v>
      </c>
      <c r="AE46" s="245">
        <f>INDEX('[4]BIeu 03KBQT'!$A$11:$X$178,MATCH(D46,'[4]BIeu 03KBQT'!$D$11:$D$178,0),6)/1000000</f>
        <v>2793.644</v>
      </c>
      <c r="AF46" s="244">
        <f>AE46-F46</f>
        <v>0</v>
      </c>
      <c r="AG46" s="203">
        <f>INDEX('[4]BIeu 03KBQT'!$A$11:$X$178,MATCH(D46,'[4]BIeu 03KBQT'!$D$11:$D$178,0),24)/1000000</f>
        <v>3038.02</v>
      </c>
      <c r="AH46" s="204">
        <f t="shared" si="1"/>
        <v>0</v>
      </c>
    </row>
    <row r="47" spans="1:34" s="200" customFormat="1" ht="48" customHeight="1">
      <c r="A47" s="329">
        <v>11</v>
      </c>
      <c r="B47" s="240" t="s">
        <v>323</v>
      </c>
      <c r="C47" s="329" t="s">
        <v>305</v>
      </c>
      <c r="D47" s="241">
        <v>7563027</v>
      </c>
      <c r="E47" s="231">
        <v>30021.238</v>
      </c>
      <c r="F47" s="232">
        <v>4000</v>
      </c>
      <c r="G47" s="231">
        <v>501.538</v>
      </c>
      <c r="H47" s="233">
        <v>187.716</v>
      </c>
      <c r="I47" s="231">
        <v>313.822</v>
      </c>
      <c r="J47" s="231"/>
      <c r="K47" s="231">
        <v>0</v>
      </c>
      <c r="L47" s="328"/>
      <c r="M47" s="328"/>
      <c r="N47" s="328"/>
      <c r="O47" s="231">
        <v>0</v>
      </c>
      <c r="P47" s="231">
        <v>727</v>
      </c>
      <c r="Q47" s="231">
        <v>0</v>
      </c>
      <c r="R47" s="328">
        <v>0</v>
      </c>
      <c r="S47" s="328">
        <v>0</v>
      </c>
      <c r="T47" s="328"/>
      <c r="U47" s="231">
        <v>727</v>
      </c>
      <c r="V47" s="234">
        <v>313.822</v>
      </c>
      <c r="W47" s="231">
        <v>0</v>
      </c>
      <c r="X47" s="233">
        <v>3812.284</v>
      </c>
      <c r="Y47" s="200">
        <v>592.177</v>
      </c>
      <c r="Z47" s="200">
        <v>5737.526</v>
      </c>
      <c r="AA47" s="242" t="e">
        <f>INDEX('[3]TONG HOP'!#REF!,MATCH(D47,'[3]TONG HOP'!$L$31:$L$400,0),335)+INDEX('[3]TONG HOP'!#REF!,MATCH(D47,'[3]TONG HOP'!$L$31:$L$400,0),336)</f>
        <v>#REF!</v>
      </c>
      <c r="AB47" s="242" t="e">
        <f>INDEX('[3]TONG HOP'!#REF!,MATCH(D47,'[3]TONG HOP'!$L$31:$L$400,0),367)</f>
        <v>#REF!</v>
      </c>
      <c r="AC47" s="202" t="e">
        <f>INDEX('[3]TONG HOP'!#REF!,MATCH(D47,'[3]TONG HOP'!$L$31:$L$400,0),364)</f>
        <v>#REF!</v>
      </c>
      <c r="AD47" s="242" t="e">
        <f>INDEX('[3]TONG HOP'!#REF!,MATCH(D47,'[3]TONG HOP'!$L$31:$L$400,0),4)</f>
        <v>#REF!</v>
      </c>
      <c r="AE47" s="245">
        <f>INDEX('[4]BIeu 03KBQT'!$A$11:$X$178,MATCH(D47,'[4]BIeu 03KBQT'!$D$11:$D$178,0),6)/1000000</f>
        <v>3812.284</v>
      </c>
      <c r="AF47" s="244">
        <f>AE47-F47</f>
        <v>-187.7159999999999</v>
      </c>
      <c r="AG47" s="203">
        <f>INDEX('[4]BIeu 03KBQT'!$A$11:$X$178,MATCH(D47,'[4]BIeu 03KBQT'!$D$11:$D$178,0),24)/1000000</f>
        <v>3812.284</v>
      </c>
      <c r="AH47" s="204">
        <f t="shared" si="1"/>
        <v>0</v>
      </c>
    </row>
    <row r="48" spans="1:34" s="200" customFormat="1" ht="28.5" customHeight="1">
      <c r="A48" s="329">
        <v>12</v>
      </c>
      <c r="B48" s="240" t="s">
        <v>324</v>
      </c>
      <c r="C48" s="329" t="s">
        <v>305</v>
      </c>
      <c r="D48" s="241">
        <v>7583497</v>
      </c>
      <c r="E48" s="231">
        <v>8794.741</v>
      </c>
      <c r="F48" s="232">
        <v>100</v>
      </c>
      <c r="G48" s="231">
        <v>0</v>
      </c>
      <c r="H48" s="233">
        <v>0</v>
      </c>
      <c r="I48" s="231">
        <v>0</v>
      </c>
      <c r="J48" s="231">
        <v>100</v>
      </c>
      <c r="K48" s="231">
        <v>100</v>
      </c>
      <c r="L48" s="231">
        <v>100</v>
      </c>
      <c r="M48" s="328"/>
      <c r="N48" s="328"/>
      <c r="O48" s="231">
        <v>0</v>
      </c>
      <c r="P48" s="231">
        <v>5100</v>
      </c>
      <c r="Q48" s="231">
        <v>4455.75</v>
      </c>
      <c r="R48" s="231">
        <v>3679.788</v>
      </c>
      <c r="S48" s="231">
        <v>775.962</v>
      </c>
      <c r="T48" s="328"/>
      <c r="U48" s="231">
        <v>644.25</v>
      </c>
      <c r="V48" s="234">
        <v>3779.788</v>
      </c>
      <c r="W48" s="231">
        <v>775.962</v>
      </c>
      <c r="X48" s="233">
        <v>4655.75</v>
      </c>
      <c r="Y48" s="200">
        <v>775.962</v>
      </c>
      <c r="Z48" s="200">
        <v>4555.75</v>
      </c>
      <c r="AA48" s="242" t="e">
        <f>INDEX('[3]TONG HOP'!#REF!,MATCH(D48,'[3]TONG HOP'!$L$31:$L$400,0),335)+INDEX('[3]TONG HOP'!#REF!,MATCH(D48,'[3]TONG HOP'!$L$31:$L$400,0),336)</f>
        <v>#REF!</v>
      </c>
      <c r="AB48" s="242" t="e">
        <f>INDEX('[3]TONG HOP'!#REF!,MATCH(D48,'[3]TONG HOP'!$L$31:$L$400,0),367)</f>
        <v>#REF!</v>
      </c>
      <c r="AC48" s="246" t="e">
        <f>INDEX('[3]TONG HOP'!#REF!,MATCH(D48,'[3]TONG HOP'!$L$31:$L$400,0),364)</f>
        <v>#REF!</v>
      </c>
      <c r="AD48" s="242" t="e">
        <f>INDEX('[3]TONG HOP'!#REF!,MATCH(D48,'[3]TONG HOP'!$L$31:$L$400,0),4)</f>
        <v>#REF!</v>
      </c>
      <c r="AE48" s="245">
        <f>INDEX('[4]BIeu 03KBQT'!$A$11:$X$178,MATCH(D48,'[4]BIeu 03KBQT'!$D$11:$D$178,0),6)/1000000</f>
        <v>100</v>
      </c>
      <c r="AF48" s="244">
        <f>AE48-F48</f>
        <v>0</v>
      </c>
      <c r="AG48" s="203">
        <f>INDEX('[4]BIeu 03KBQT'!$A$11:$X$178,MATCH(D48,'[4]BIeu 03KBQT'!$D$11:$D$178,0),24)/1000000</f>
        <v>4655.75</v>
      </c>
      <c r="AH48" s="204">
        <f t="shared" si="1"/>
        <v>0</v>
      </c>
    </row>
    <row r="49" spans="1:34" s="200" customFormat="1" ht="30.75" customHeight="1">
      <c r="A49" s="329">
        <v>13</v>
      </c>
      <c r="B49" s="240" t="s">
        <v>325</v>
      </c>
      <c r="C49" s="329" t="s">
        <v>305</v>
      </c>
      <c r="D49" s="241">
        <v>7434547</v>
      </c>
      <c r="E49" s="231">
        <v>13732</v>
      </c>
      <c r="F49" s="232">
        <v>11252.107</v>
      </c>
      <c r="G49" s="231">
        <v>34.053</v>
      </c>
      <c r="H49" s="233">
        <v>0</v>
      </c>
      <c r="I49" s="231">
        <v>34.053</v>
      </c>
      <c r="J49" s="231"/>
      <c r="K49" s="231"/>
      <c r="L49" s="328"/>
      <c r="M49" s="328"/>
      <c r="N49" s="328"/>
      <c r="O49" s="231">
        <v>0</v>
      </c>
      <c r="P49" s="231">
        <v>49.85</v>
      </c>
      <c r="Q49" s="231">
        <v>49.85</v>
      </c>
      <c r="R49" s="231">
        <v>49.85</v>
      </c>
      <c r="S49" s="328">
        <v>0</v>
      </c>
      <c r="T49" s="328"/>
      <c r="U49" s="231">
        <v>0</v>
      </c>
      <c r="V49" s="234">
        <v>83.90299999999999</v>
      </c>
      <c r="W49" s="231">
        <v>0</v>
      </c>
      <c r="X49" s="233">
        <v>11301.957</v>
      </c>
      <c r="Y49" s="200">
        <v>0</v>
      </c>
      <c r="Z49" s="200">
        <v>49.85</v>
      </c>
      <c r="AA49" s="242" t="e">
        <f>INDEX('[3]TONG HOP'!#REF!,MATCH(D49,'[3]TONG HOP'!$L$31:$L$400,0),335)+INDEX('[3]TONG HOP'!#REF!,MATCH(D49,'[3]TONG HOP'!$L$31:$L$400,0),336)</f>
        <v>#REF!</v>
      </c>
      <c r="AB49" s="242" t="e">
        <f>INDEX('[3]TONG HOP'!#REF!,MATCH(D49,'[3]TONG HOP'!$L$31:$L$400,0),367)</f>
        <v>#REF!</v>
      </c>
      <c r="AC49" s="202" t="e">
        <f>INDEX('[3]TONG HOP'!#REF!,MATCH(D49,'[3]TONG HOP'!$L$31:$L$400,0),364)</f>
        <v>#REF!</v>
      </c>
      <c r="AD49" s="242" t="e">
        <f>INDEX('[3]TONG HOP'!#REF!,MATCH(D49,'[3]TONG HOP'!$L$31:$L$400,0),4)</f>
        <v>#REF!</v>
      </c>
      <c r="AE49" s="245">
        <f>INDEX('[4]BIeu 03KBQT'!$A$11:$X$178,MATCH(D49,'[4]BIeu 03KBQT'!$D$11:$D$178,0),6)/1000000</f>
        <v>11252.107</v>
      </c>
      <c r="AF49" s="244">
        <f>AE49-F49</f>
        <v>0</v>
      </c>
      <c r="AG49" s="203">
        <f>INDEX('[4]BIeu 03KBQT'!$A$11:$X$178,MATCH(D49,'[4]BIeu 03KBQT'!$D$11:$D$178,0),24)/1000000</f>
        <v>11301.957</v>
      </c>
      <c r="AH49" s="204">
        <f t="shared" si="1"/>
        <v>0</v>
      </c>
    </row>
    <row r="50" spans="1:34" s="200" customFormat="1" ht="61.5" customHeight="1">
      <c r="A50" s="329">
        <v>14</v>
      </c>
      <c r="B50" s="240" t="s">
        <v>326</v>
      </c>
      <c r="C50" s="329" t="s">
        <v>305</v>
      </c>
      <c r="D50" s="241">
        <v>7617700</v>
      </c>
      <c r="E50" s="231">
        <v>8453.908</v>
      </c>
      <c r="F50" s="232">
        <v>0</v>
      </c>
      <c r="G50" s="231">
        <v>0</v>
      </c>
      <c r="H50" s="233">
        <v>0</v>
      </c>
      <c r="I50" s="231">
        <v>0</v>
      </c>
      <c r="J50" s="231">
        <v>7365</v>
      </c>
      <c r="K50" s="231">
        <v>7272.903</v>
      </c>
      <c r="L50" s="231">
        <v>7272.903</v>
      </c>
      <c r="M50" s="328"/>
      <c r="N50" s="328">
        <v>0</v>
      </c>
      <c r="O50" s="231">
        <v>92.09699999999975</v>
      </c>
      <c r="P50" s="231"/>
      <c r="Q50" s="231"/>
      <c r="R50" s="328"/>
      <c r="S50" s="328">
        <v>0</v>
      </c>
      <c r="T50" s="328"/>
      <c r="U50" s="231">
        <v>0</v>
      </c>
      <c r="V50" s="234">
        <v>7272.903</v>
      </c>
      <c r="W50" s="231">
        <v>0</v>
      </c>
      <c r="X50" s="233">
        <v>7272.903</v>
      </c>
      <c r="Y50" s="200">
        <v>0</v>
      </c>
      <c r="Z50" s="200">
        <v>7272.903</v>
      </c>
      <c r="AA50" s="242" t="e">
        <f>INDEX('[3]TONG HOP'!#REF!,MATCH(D50,'[3]TONG HOP'!$L$31:$L$400,0),335)+INDEX('[3]TONG HOP'!#REF!,MATCH(D50,'[3]TONG HOP'!$L$31:$L$400,0),336)</f>
        <v>#REF!</v>
      </c>
      <c r="AB50" s="242" t="e">
        <f>INDEX('[3]TONG HOP'!#REF!,MATCH(D50,'[3]TONG HOP'!$L$31:$L$400,0),367)</f>
        <v>#REF!</v>
      </c>
      <c r="AC50" s="246" t="e">
        <f>INDEX('[3]TONG HOP'!#REF!,MATCH(D50,'[3]TONG HOP'!$L$31:$L$400,0),364)</f>
        <v>#REF!</v>
      </c>
      <c r="AD50" s="242" t="e">
        <f>INDEX('[3]TONG HOP'!#REF!,MATCH(D50,'[3]TONG HOP'!$L$31:$L$400,0),4)</f>
        <v>#REF!</v>
      </c>
      <c r="AE50" s="245" t="e">
        <f>INDEX('[4]BIeu 03KBQT'!$A$11:$X$178,MATCH(D50,'[4]BIeu 03KBQT'!$D$11:$D$178,0),6)/1000000</f>
        <v>#REF!</v>
      </c>
      <c r="AF50" s="244" t="e">
        <f aca="true" t="shared" si="2" ref="AF50:AF90">AE50-F50</f>
        <v>#REF!</v>
      </c>
      <c r="AG50" s="203">
        <f>INDEX('[4]BIeu 03KBQT'!$A$11:$X$178,MATCH(D50,'[4]BIeu 03KBQT'!$D$11:$D$178,0),24)/1000000</f>
        <v>7272.903</v>
      </c>
      <c r="AH50" s="204">
        <f t="shared" si="1"/>
        <v>0</v>
      </c>
    </row>
    <row r="51" spans="1:34" s="236" customFormat="1" ht="13.5">
      <c r="A51" s="329"/>
      <c r="B51" s="235" t="s">
        <v>303</v>
      </c>
      <c r="C51" s="330"/>
      <c r="D51" s="329"/>
      <c r="E51" s="328">
        <v>132833.414</v>
      </c>
      <c r="F51" s="205">
        <v>41226.229999999996</v>
      </c>
      <c r="G51" s="328">
        <v>2162.3990000000003</v>
      </c>
      <c r="H51" s="333">
        <v>145.841</v>
      </c>
      <c r="I51" s="328">
        <v>2016.5579999999998</v>
      </c>
      <c r="J51" s="328">
        <v>6292</v>
      </c>
      <c r="K51" s="328">
        <v>5996.931</v>
      </c>
      <c r="L51" s="328">
        <v>5961.95</v>
      </c>
      <c r="M51" s="328">
        <v>34.981</v>
      </c>
      <c r="N51" s="328">
        <v>0</v>
      </c>
      <c r="O51" s="328">
        <v>295.06899999999996</v>
      </c>
      <c r="P51" s="328">
        <v>25353.881999999998</v>
      </c>
      <c r="Q51" s="328">
        <v>24904.425</v>
      </c>
      <c r="R51" s="328">
        <v>13951.003</v>
      </c>
      <c r="S51" s="328">
        <v>10953.421999999999</v>
      </c>
      <c r="T51" s="328">
        <v>0</v>
      </c>
      <c r="U51" s="328">
        <v>449.4569999999998</v>
      </c>
      <c r="V51" s="332">
        <v>21929.511</v>
      </c>
      <c r="W51" s="328">
        <v>10988.402999999998</v>
      </c>
      <c r="X51" s="333">
        <v>71981.74500000001</v>
      </c>
      <c r="AA51" s="201"/>
      <c r="AB51" s="201"/>
      <c r="AC51" s="237"/>
      <c r="AD51" s="214"/>
      <c r="AG51" s="213"/>
      <c r="AH51" s="238"/>
    </row>
    <row r="52" spans="1:34" s="200" customFormat="1" ht="13.5">
      <c r="A52" s="329">
        <v>15</v>
      </c>
      <c r="B52" s="240" t="s">
        <v>327</v>
      </c>
      <c r="C52" s="329" t="s">
        <v>305</v>
      </c>
      <c r="D52" s="247">
        <v>7368310</v>
      </c>
      <c r="E52" s="231">
        <v>4662.867</v>
      </c>
      <c r="F52" s="232">
        <v>2586.318</v>
      </c>
      <c r="G52" s="231">
        <v>13.7</v>
      </c>
      <c r="H52" s="233">
        <v>0</v>
      </c>
      <c r="I52" s="231">
        <v>13.7</v>
      </c>
      <c r="J52" s="231"/>
      <c r="K52" s="231"/>
      <c r="L52" s="328"/>
      <c r="M52" s="328"/>
      <c r="N52" s="328"/>
      <c r="O52" s="231">
        <v>0</v>
      </c>
      <c r="P52" s="231">
        <v>19.901</v>
      </c>
      <c r="Q52" s="231">
        <v>19.901</v>
      </c>
      <c r="R52" s="231">
        <v>19.901</v>
      </c>
      <c r="S52" s="328"/>
      <c r="T52" s="328">
        <v>0</v>
      </c>
      <c r="U52" s="231">
        <v>0</v>
      </c>
      <c r="V52" s="234">
        <v>33.601</v>
      </c>
      <c r="W52" s="231">
        <v>0</v>
      </c>
      <c r="X52" s="233">
        <v>2606.219</v>
      </c>
      <c r="Y52" s="200">
        <v>0</v>
      </c>
      <c r="Z52" s="200">
        <v>19.901</v>
      </c>
      <c r="AA52" s="242" t="e">
        <f>INDEX('[3]TONG HOP'!#REF!,MATCH(D52,'[3]TONG HOP'!$L$31:$L$400,0),335)+INDEX('[3]TONG HOP'!#REF!,MATCH(D52,'[3]TONG HOP'!$L$31:$L$400,0),336)</f>
        <v>#REF!</v>
      </c>
      <c r="AB52" s="242" t="e">
        <f>INDEX('[3]TONG HOP'!#REF!,MATCH(D52,'[3]TONG HOP'!$L$31:$L$400,0),367)</f>
        <v>#REF!</v>
      </c>
      <c r="AC52" s="246" t="e">
        <f>INDEX('[3]TONG HOP'!#REF!,MATCH(D52,'[3]TONG HOP'!$L$31:$L$400,0),364)</f>
        <v>#REF!</v>
      </c>
      <c r="AD52" s="242" t="e">
        <f>INDEX('[3]TONG HOP'!#REF!,MATCH(D52,'[3]TONG HOP'!$L$31:$L$400,0),4)</f>
        <v>#REF!</v>
      </c>
      <c r="AE52" s="245">
        <f>INDEX('[4]BIeu 03KBQT'!$A$11:$X$178,MATCH(D52,'[4]BIeu 03KBQT'!$D$11:$D$178,0),6)/1000000</f>
        <v>2586.318</v>
      </c>
      <c r="AF52" s="244">
        <f t="shared" si="2"/>
        <v>0</v>
      </c>
      <c r="AG52" s="203">
        <f>INDEX('[4]BIeu 03KBQT'!$A$11:$X$178,MATCH(D52,'[4]BIeu 03KBQT'!$D$11:$D$178,0),24)/1000000</f>
        <v>2606.219</v>
      </c>
      <c r="AH52" s="204">
        <f t="shared" si="1"/>
        <v>0</v>
      </c>
    </row>
    <row r="53" spans="1:34" s="200" customFormat="1" ht="13.5">
      <c r="A53" s="329">
        <v>16</v>
      </c>
      <c r="B53" s="240" t="s">
        <v>328</v>
      </c>
      <c r="C53" s="329" t="s">
        <v>305</v>
      </c>
      <c r="D53" s="247">
        <v>7389618</v>
      </c>
      <c r="E53" s="231">
        <v>5878.822</v>
      </c>
      <c r="F53" s="232">
        <v>3113.808</v>
      </c>
      <c r="G53" s="231">
        <v>10.017</v>
      </c>
      <c r="H53" s="233">
        <v>0</v>
      </c>
      <c r="I53" s="231">
        <v>10.017</v>
      </c>
      <c r="J53" s="231"/>
      <c r="K53" s="231"/>
      <c r="L53" s="328"/>
      <c r="M53" s="328"/>
      <c r="N53" s="328"/>
      <c r="O53" s="231">
        <v>0</v>
      </c>
      <c r="P53" s="231">
        <v>20.483</v>
      </c>
      <c r="Q53" s="231">
        <v>20.483</v>
      </c>
      <c r="R53" s="231">
        <v>20.483</v>
      </c>
      <c r="S53" s="328"/>
      <c r="T53" s="328"/>
      <c r="U53" s="231">
        <v>0</v>
      </c>
      <c r="V53" s="234">
        <v>30.5</v>
      </c>
      <c r="W53" s="231">
        <v>0</v>
      </c>
      <c r="X53" s="233">
        <v>3134.291</v>
      </c>
      <c r="Y53" s="200">
        <v>0</v>
      </c>
      <c r="Z53" s="200">
        <v>20.483</v>
      </c>
      <c r="AA53" s="242" t="e">
        <f>INDEX('[3]TONG HOP'!#REF!,MATCH(D53,'[3]TONG HOP'!$L$31:$L$400,0),335)+INDEX('[3]TONG HOP'!#REF!,MATCH(D53,'[3]TONG HOP'!$L$31:$L$400,0),336)</f>
        <v>#REF!</v>
      </c>
      <c r="AB53" s="242" t="e">
        <f>INDEX('[3]TONG HOP'!#REF!,MATCH(D53,'[3]TONG HOP'!$L$31:$L$400,0),367)</f>
        <v>#REF!</v>
      </c>
      <c r="AC53" s="246" t="e">
        <f>INDEX('[3]TONG HOP'!#REF!,MATCH(D53,'[3]TONG HOP'!$L$31:$L$400,0),364)</f>
        <v>#REF!</v>
      </c>
      <c r="AD53" s="242" t="e">
        <f>INDEX('[3]TONG HOP'!#REF!,MATCH(D53,'[3]TONG HOP'!$L$31:$L$400,0),4)</f>
        <v>#REF!</v>
      </c>
      <c r="AE53" s="245">
        <f>INDEX('[4]BIeu 03KBQT'!$A$11:$X$178,MATCH(D53,'[4]BIeu 03KBQT'!$D$11:$D$178,0),6)/1000000</f>
        <v>3113.808</v>
      </c>
      <c r="AF53" s="244">
        <f t="shared" si="2"/>
        <v>0</v>
      </c>
      <c r="AG53" s="203">
        <f>INDEX('[4]BIeu 03KBQT'!$A$11:$X$178,MATCH(D53,'[4]BIeu 03KBQT'!$D$11:$D$178,0),24)/1000000</f>
        <v>3134.291</v>
      </c>
      <c r="AH53" s="204">
        <f t="shared" si="1"/>
        <v>0</v>
      </c>
    </row>
    <row r="54" spans="1:34" s="200" customFormat="1" ht="13.5">
      <c r="A54" s="329">
        <v>17</v>
      </c>
      <c r="B54" s="240" t="s">
        <v>329</v>
      </c>
      <c r="C54" s="329" t="s">
        <v>305</v>
      </c>
      <c r="D54" s="241">
        <v>7430219</v>
      </c>
      <c r="E54" s="231">
        <v>3031.157</v>
      </c>
      <c r="F54" s="232">
        <v>2492.564</v>
      </c>
      <c r="G54" s="231">
        <v>0</v>
      </c>
      <c r="H54" s="233">
        <v>0</v>
      </c>
      <c r="I54" s="231">
        <v>0</v>
      </c>
      <c r="J54" s="231"/>
      <c r="K54" s="231"/>
      <c r="L54" s="328"/>
      <c r="M54" s="328"/>
      <c r="N54" s="328"/>
      <c r="O54" s="231">
        <v>0</v>
      </c>
      <c r="P54" s="231">
        <v>14.766</v>
      </c>
      <c r="Q54" s="231">
        <v>14.766</v>
      </c>
      <c r="R54" s="231">
        <v>14.766</v>
      </c>
      <c r="S54" s="328"/>
      <c r="T54" s="328"/>
      <c r="U54" s="231">
        <v>0</v>
      </c>
      <c r="V54" s="234">
        <v>14.766</v>
      </c>
      <c r="W54" s="231">
        <v>0</v>
      </c>
      <c r="X54" s="233">
        <v>2507.33</v>
      </c>
      <c r="Y54" s="200">
        <v>0</v>
      </c>
      <c r="Z54" s="200">
        <v>14.766</v>
      </c>
      <c r="AA54" s="242" t="e">
        <f>INDEX('[3]TONG HOP'!#REF!,MATCH(D54,'[3]TONG HOP'!$L$31:$L$400,0),335)+INDEX('[3]TONG HOP'!#REF!,MATCH(D54,'[3]TONG HOP'!$L$31:$L$400,0),336)</f>
        <v>#REF!</v>
      </c>
      <c r="AB54" s="242" t="e">
        <f>INDEX('[3]TONG HOP'!#REF!,MATCH(D54,'[3]TONG HOP'!$L$31:$L$400,0),367)</f>
        <v>#REF!</v>
      </c>
      <c r="AC54" s="246" t="e">
        <f>INDEX('[3]TONG HOP'!#REF!,MATCH(D54,'[3]TONG HOP'!$L$31:$L$400,0),364)</f>
        <v>#REF!</v>
      </c>
      <c r="AD54" s="242" t="e">
        <f>INDEX('[3]TONG HOP'!#REF!,MATCH(D54,'[3]TONG HOP'!$L$31:$L$400,0),4)</f>
        <v>#REF!</v>
      </c>
      <c r="AE54" s="245">
        <f>INDEX('[4]BIeu 03KBQT'!$A$11:$X$178,MATCH(D54,'[4]BIeu 03KBQT'!$D$11:$D$178,0),6)/1000000</f>
        <v>2492.564</v>
      </c>
      <c r="AF54" s="244">
        <f t="shared" si="2"/>
        <v>0</v>
      </c>
      <c r="AG54" s="203">
        <f>INDEX('[4]BIeu 03KBQT'!$A$11:$X$178,MATCH(D54,'[4]BIeu 03KBQT'!$D$11:$D$178,0),24)/1000000</f>
        <v>2507.33</v>
      </c>
      <c r="AH54" s="204">
        <f t="shared" si="1"/>
        <v>0</v>
      </c>
    </row>
    <row r="55" spans="1:34" s="200" customFormat="1" ht="13.5">
      <c r="A55" s="329">
        <v>18</v>
      </c>
      <c r="B55" s="240" t="s">
        <v>330</v>
      </c>
      <c r="C55" s="329" t="s">
        <v>305</v>
      </c>
      <c r="D55" s="241">
        <v>7480323</v>
      </c>
      <c r="E55" s="231">
        <v>10874.514</v>
      </c>
      <c r="F55" s="232">
        <v>8773.391</v>
      </c>
      <c r="G55" s="231">
        <v>26.816</v>
      </c>
      <c r="H55" s="233">
        <v>0</v>
      </c>
      <c r="I55" s="231">
        <v>26.816</v>
      </c>
      <c r="J55" s="231"/>
      <c r="K55" s="231"/>
      <c r="L55" s="328"/>
      <c r="M55" s="328"/>
      <c r="N55" s="328"/>
      <c r="O55" s="231">
        <v>0</v>
      </c>
      <c r="P55" s="231">
        <v>40.08</v>
      </c>
      <c r="Q55" s="231">
        <v>40.08</v>
      </c>
      <c r="R55" s="231">
        <v>40.08</v>
      </c>
      <c r="S55" s="328"/>
      <c r="T55" s="328"/>
      <c r="U55" s="231">
        <v>0</v>
      </c>
      <c r="V55" s="234">
        <v>66.896</v>
      </c>
      <c r="W55" s="231">
        <v>0</v>
      </c>
      <c r="X55" s="233">
        <v>8813.471</v>
      </c>
      <c r="Y55" s="200">
        <v>0</v>
      </c>
      <c r="Z55" s="200">
        <v>40.08</v>
      </c>
      <c r="AA55" s="242" t="e">
        <f>INDEX('[3]TONG HOP'!#REF!,MATCH(D55,'[3]TONG HOP'!$L$31:$L$400,0),335)+INDEX('[3]TONG HOP'!#REF!,MATCH(D55,'[3]TONG HOP'!$L$31:$L$400,0),336)</f>
        <v>#REF!</v>
      </c>
      <c r="AB55" s="242" t="e">
        <f>INDEX('[3]TONG HOP'!#REF!,MATCH(D55,'[3]TONG HOP'!$L$31:$L$400,0),367)</f>
        <v>#REF!</v>
      </c>
      <c r="AC55" s="246" t="e">
        <f>INDEX('[3]TONG HOP'!#REF!,MATCH(D55,'[3]TONG HOP'!$L$31:$L$400,0),364)</f>
        <v>#REF!</v>
      </c>
      <c r="AD55" s="242" t="e">
        <f>INDEX('[3]TONG HOP'!#REF!,MATCH(D55,'[3]TONG HOP'!$L$31:$L$400,0),4)</f>
        <v>#REF!</v>
      </c>
      <c r="AE55" s="245">
        <f>INDEX('[4]BIeu 03KBQT'!$A$11:$X$178,MATCH(D55,'[4]BIeu 03KBQT'!$D$11:$D$178,0),6)/1000000</f>
        <v>8773.391</v>
      </c>
      <c r="AF55" s="244">
        <f t="shared" si="2"/>
        <v>0</v>
      </c>
      <c r="AG55" s="203">
        <f>INDEX('[4]BIeu 03KBQT'!$A$11:$X$178,MATCH(D55,'[4]BIeu 03KBQT'!$D$11:$D$178,0),24)/1000000</f>
        <v>8813.471</v>
      </c>
      <c r="AH55" s="204">
        <f t="shared" si="1"/>
        <v>0</v>
      </c>
    </row>
    <row r="56" spans="1:34" s="200" customFormat="1" ht="13.5">
      <c r="A56" s="329">
        <v>19</v>
      </c>
      <c r="B56" s="240" t="s">
        <v>331</v>
      </c>
      <c r="C56" s="329" t="s">
        <v>305</v>
      </c>
      <c r="D56" s="241">
        <v>7540469</v>
      </c>
      <c r="E56" s="231">
        <v>2905.786</v>
      </c>
      <c r="F56" s="232">
        <v>1545</v>
      </c>
      <c r="G56" s="231">
        <v>0</v>
      </c>
      <c r="H56" s="233">
        <v>0</v>
      </c>
      <c r="I56" s="231">
        <v>0</v>
      </c>
      <c r="J56" s="231">
        <v>755</v>
      </c>
      <c r="K56" s="231">
        <v>745.534</v>
      </c>
      <c r="L56" s="231">
        <v>710.553</v>
      </c>
      <c r="M56" s="231">
        <v>34.981</v>
      </c>
      <c r="N56" s="231"/>
      <c r="O56" s="231">
        <v>9.466000000000008</v>
      </c>
      <c r="P56" s="231">
        <v>5</v>
      </c>
      <c r="Q56" s="231">
        <v>0</v>
      </c>
      <c r="R56" s="231"/>
      <c r="S56" s="328"/>
      <c r="T56" s="328"/>
      <c r="U56" s="231">
        <v>5</v>
      </c>
      <c r="V56" s="234">
        <v>710.553</v>
      </c>
      <c r="W56" s="231">
        <v>34.981</v>
      </c>
      <c r="X56" s="233">
        <v>2290.534</v>
      </c>
      <c r="Y56" s="200">
        <v>34.981</v>
      </c>
      <c r="Z56" s="200">
        <v>745.534</v>
      </c>
      <c r="AA56" s="242" t="e">
        <f>INDEX('[3]TONG HOP'!#REF!,MATCH(D56,'[3]TONG HOP'!$L$31:$L$400,0),335)+INDEX('[3]TONG HOP'!#REF!,MATCH(D56,'[3]TONG HOP'!$L$31:$L$400,0),336)</f>
        <v>#REF!</v>
      </c>
      <c r="AB56" s="242" t="e">
        <f>INDEX('[3]TONG HOP'!#REF!,MATCH(D56,'[3]TONG HOP'!$L$31:$L$400,0),367)</f>
        <v>#REF!</v>
      </c>
      <c r="AC56" s="246" t="e">
        <f>INDEX('[3]TONG HOP'!#REF!,MATCH(D56,'[3]TONG HOP'!$L$31:$L$400,0),364)</f>
        <v>#REF!</v>
      </c>
      <c r="AD56" s="242" t="e">
        <f>INDEX('[3]TONG HOP'!#REF!,MATCH(D56,'[3]TONG HOP'!$L$31:$L$400,0),4)</f>
        <v>#REF!</v>
      </c>
      <c r="AE56" s="245">
        <f>INDEX('[4]BIeu 03KBQT'!$A$11:$X$178,MATCH(D56,'[4]BIeu 03KBQT'!$D$11:$D$178,0),6)/1000000</f>
        <v>1545</v>
      </c>
      <c r="AF56" s="244">
        <f t="shared" si="2"/>
        <v>0</v>
      </c>
      <c r="AG56" s="203">
        <f>INDEX('[4]BIeu 03KBQT'!$A$11:$X$178,MATCH(D56,'[4]BIeu 03KBQT'!$D$11:$D$178,0),24)/1000000</f>
        <v>2290.534</v>
      </c>
      <c r="AH56" s="204">
        <f t="shared" si="1"/>
        <v>0</v>
      </c>
    </row>
    <row r="57" spans="1:34" s="200" customFormat="1" ht="27">
      <c r="A57" s="329">
        <v>20</v>
      </c>
      <c r="B57" s="240" t="s">
        <v>332</v>
      </c>
      <c r="C57" s="329" t="s">
        <v>305</v>
      </c>
      <c r="D57" s="241">
        <v>7541990</v>
      </c>
      <c r="E57" s="231">
        <v>2578.281</v>
      </c>
      <c r="F57" s="232">
        <v>1244.066</v>
      </c>
      <c r="G57" s="231">
        <v>875.357</v>
      </c>
      <c r="H57" s="233">
        <v>0</v>
      </c>
      <c r="I57" s="231">
        <v>875.357</v>
      </c>
      <c r="J57" s="231">
        <v>106</v>
      </c>
      <c r="K57" s="231">
        <v>74.59</v>
      </c>
      <c r="L57" s="231">
        <v>74.59</v>
      </c>
      <c r="M57" s="328"/>
      <c r="N57" s="328"/>
      <c r="O57" s="231">
        <v>31.409999999999997</v>
      </c>
      <c r="P57" s="231"/>
      <c r="Q57" s="231"/>
      <c r="R57" s="328"/>
      <c r="S57" s="328"/>
      <c r="T57" s="328"/>
      <c r="U57" s="231">
        <v>0</v>
      </c>
      <c r="V57" s="234">
        <v>949.947</v>
      </c>
      <c r="W57" s="231">
        <v>0</v>
      </c>
      <c r="X57" s="233">
        <v>1318.656</v>
      </c>
      <c r="Y57" s="200">
        <v>0</v>
      </c>
      <c r="Z57" s="200">
        <v>74.59</v>
      </c>
      <c r="AA57" s="242" t="e">
        <f>INDEX('[3]TONG HOP'!#REF!,MATCH(D57,'[3]TONG HOP'!$L$31:$L$400,0),335)+INDEX('[3]TONG HOP'!#REF!,MATCH(D57,'[3]TONG HOP'!$L$31:$L$400,0),336)</f>
        <v>#REF!</v>
      </c>
      <c r="AB57" s="242" t="e">
        <f>INDEX('[3]TONG HOP'!#REF!,MATCH(D57,'[3]TONG HOP'!$L$31:$L$400,0),367)</f>
        <v>#REF!</v>
      </c>
      <c r="AC57" s="246" t="e">
        <f>INDEX('[3]TONG HOP'!#REF!,MATCH(D57,'[3]TONG HOP'!$L$31:$L$400,0),364)</f>
        <v>#REF!</v>
      </c>
      <c r="AD57" s="242" t="e">
        <f>INDEX('[3]TONG HOP'!#REF!,MATCH(D57,'[3]TONG HOP'!$L$31:$L$400,0),4)</f>
        <v>#REF!</v>
      </c>
      <c r="AE57" s="245">
        <f>INDEX('[4]BIeu 03KBQT'!$A$11:$X$178,MATCH(D57,'[4]BIeu 03KBQT'!$D$11:$D$178,0),6)/1000000</f>
        <v>1244.066</v>
      </c>
      <c r="AF57" s="244">
        <f t="shared" si="2"/>
        <v>0</v>
      </c>
      <c r="AG57" s="203">
        <f>INDEX('[4]BIeu 03KBQT'!$A$11:$X$178,MATCH(D57,'[4]BIeu 03KBQT'!$D$11:$D$178,0),24)/1000000</f>
        <v>1318.656</v>
      </c>
      <c r="AH57" s="204">
        <f t="shared" si="1"/>
        <v>0</v>
      </c>
    </row>
    <row r="58" spans="1:34" s="200" customFormat="1" ht="13.5">
      <c r="A58" s="329">
        <v>21</v>
      </c>
      <c r="B58" s="240" t="s">
        <v>333</v>
      </c>
      <c r="C58" s="329" t="s">
        <v>305</v>
      </c>
      <c r="D58" s="241">
        <v>7545080</v>
      </c>
      <c r="E58" s="231">
        <v>7445.411</v>
      </c>
      <c r="F58" s="232">
        <v>0</v>
      </c>
      <c r="G58" s="231">
        <v>0</v>
      </c>
      <c r="H58" s="233">
        <v>0</v>
      </c>
      <c r="I58" s="231">
        <v>0</v>
      </c>
      <c r="J58" s="231"/>
      <c r="K58" s="231">
        <v>0</v>
      </c>
      <c r="L58" s="328"/>
      <c r="M58" s="328"/>
      <c r="N58" s="328"/>
      <c r="O58" s="231">
        <v>0</v>
      </c>
      <c r="P58" s="231">
        <v>300</v>
      </c>
      <c r="Q58" s="231">
        <v>300</v>
      </c>
      <c r="R58" s="231">
        <v>300</v>
      </c>
      <c r="S58" s="328"/>
      <c r="T58" s="328"/>
      <c r="U58" s="231">
        <v>0</v>
      </c>
      <c r="V58" s="234">
        <v>300</v>
      </c>
      <c r="W58" s="231">
        <v>0</v>
      </c>
      <c r="X58" s="233">
        <v>300</v>
      </c>
      <c r="Y58" s="200">
        <v>632.469</v>
      </c>
      <c r="Z58" s="200">
        <v>2703.789</v>
      </c>
      <c r="AA58" s="242" t="e">
        <f>INDEX('[3]TONG HOP'!#REF!,MATCH(D58,'[3]TONG HOP'!$L$31:$L$400,0),335)+INDEX('[3]TONG HOP'!#REF!,MATCH(D58,'[3]TONG HOP'!$L$31:$L$400,0),336)</f>
        <v>#REF!</v>
      </c>
      <c r="AB58" s="242" t="e">
        <f>INDEX('[3]TONG HOP'!#REF!,MATCH(D58,'[3]TONG HOP'!$L$31:$L$400,0),367)</f>
        <v>#REF!</v>
      </c>
      <c r="AC58" s="246" t="e">
        <f>INDEX('[3]TONG HOP'!#REF!,MATCH(D58,'[3]TONG HOP'!$L$31:$L$400,0),364)</f>
        <v>#REF!</v>
      </c>
      <c r="AD58" s="242" t="e">
        <f>INDEX('[3]TONG HOP'!#REF!,MATCH(D58,'[3]TONG HOP'!$L$31:$L$400,0),4)</f>
        <v>#REF!</v>
      </c>
      <c r="AE58" s="245" t="e">
        <f>INDEX('[4]BIeu 03KBQT'!$A$11:$X$178,MATCH(D58,'[4]BIeu 03KBQT'!$D$11:$D$178,0),6)/1000000</f>
        <v>#REF!</v>
      </c>
      <c r="AF58" s="244" t="e">
        <f t="shared" si="2"/>
        <v>#REF!</v>
      </c>
      <c r="AG58" s="203">
        <f>INDEX('[4]BIeu 03KBQT'!$A$11:$X$178,MATCH(D58,'[4]BIeu 03KBQT'!$D$11:$D$178,0),24)/1000000</f>
        <v>300</v>
      </c>
      <c r="AH58" s="204">
        <f t="shared" si="1"/>
        <v>0</v>
      </c>
    </row>
    <row r="59" spans="1:34" s="200" customFormat="1" ht="13.5">
      <c r="A59" s="329">
        <v>22</v>
      </c>
      <c r="B59" s="240" t="s">
        <v>334</v>
      </c>
      <c r="C59" s="329" t="s">
        <v>305</v>
      </c>
      <c r="D59" s="241">
        <v>7554153</v>
      </c>
      <c r="E59" s="231">
        <v>914.547</v>
      </c>
      <c r="F59" s="232">
        <v>618.211</v>
      </c>
      <c r="G59" s="231">
        <v>0</v>
      </c>
      <c r="H59" s="233">
        <v>0</v>
      </c>
      <c r="I59" s="231">
        <v>0</v>
      </c>
      <c r="J59" s="231"/>
      <c r="K59" s="231">
        <v>0</v>
      </c>
      <c r="L59" s="328"/>
      <c r="M59" s="328"/>
      <c r="N59" s="328"/>
      <c r="O59" s="231">
        <v>0</v>
      </c>
      <c r="P59" s="231">
        <v>126</v>
      </c>
      <c r="Q59" s="231">
        <v>125.199</v>
      </c>
      <c r="R59" s="231">
        <v>125.199</v>
      </c>
      <c r="S59" s="328"/>
      <c r="T59" s="328"/>
      <c r="U59" s="231">
        <v>0.8010000000000019</v>
      </c>
      <c r="V59" s="234">
        <v>125.199</v>
      </c>
      <c r="W59" s="231">
        <v>0</v>
      </c>
      <c r="X59" s="233">
        <v>743.41</v>
      </c>
      <c r="Y59" s="200">
        <v>0</v>
      </c>
      <c r="Z59" s="200">
        <v>125.199</v>
      </c>
      <c r="AA59" s="242" t="e">
        <f>INDEX('[3]TONG HOP'!#REF!,MATCH(D59,'[3]TONG HOP'!$L$31:$L$400,0),335)+INDEX('[3]TONG HOP'!#REF!,MATCH(D59,'[3]TONG HOP'!$L$31:$L$400,0),336)</f>
        <v>#REF!</v>
      </c>
      <c r="AB59" s="242" t="e">
        <f>INDEX('[3]TONG HOP'!#REF!,MATCH(D59,'[3]TONG HOP'!$L$31:$L$400,0),367)</f>
        <v>#REF!</v>
      </c>
      <c r="AC59" s="246" t="e">
        <f>INDEX('[3]TONG HOP'!#REF!,MATCH(D59,'[3]TONG HOP'!$L$31:$L$400,0),364)</f>
        <v>#REF!</v>
      </c>
      <c r="AD59" s="242" t="e">
        <f>INDEX('[3]TONG HOP'!#REF!,MATCH(D59,'[3]TONG HOP'!$L$31:$L$400,0),4)</f>
        <v>#REF!</v>
      </c>
      <c r="AE59" s="245">
        <f>INDEX('[4]BIeu 03KBQT'!$A$11:$X$178,MATCH(D59,'[4]BIeu 03KBQT'!$D$11:$D$178,0),6)/1000000</f>
        <v>618.211</v>
      </c>
      <c r="AF59" s="244">
        <f t="shared" si="2"/>
        <v>0</v>
      </c>
      <c r="AG59" s="203">
        <f>INDEX('[4]BIeu 03KBQT'!$A$11:$X$178,MATCH(D59,'[4]BIeu 03KBQT'!$D$11:$D$178,0),24)/1000000</f>
        <v>743.41</v>
      </c>
      <c r="AH59" s="204">
        <f t="shared" si="1"/>
        <v>0</v>
      </c>
    </row>
    <row r="60" spans="1:34" s="200" customFormat="1" ht="27">
      <c r="A60" s="329">
        <v>23</v>
      </c>
      <c r="B60" s="240" t="s">
        <v>335</v>
      </c>
      <c r="C60" s="329" t="s">
        <v>305</v>
      </c>
      <c r="D60" s="241">
        <v>7557544</v>
      </c>
      <c r="E60" s="231">
        <v>2889.367</v>
      </c>
      <c r="F60" s="232">
        <v>50.709</v>
      </c>
      <c r="G60" s="231">
        <v>0</v>
      </c>
      <c r="H60" s="233">
        <v>0</v>
      </c>
      <c r="I60" s="231">
        <v>0</v>
      </c>
      <c r="J60" s="231">
        <v>250</v>
      </c>
      <c r="K60" s="231">
        <v>250</v>
      </c>
      <c r="L60" s="231">
        <v>250</v>
      </c>
      <c r="M60" s="328"/>
      <c r="N60" s="328"/>
      <c r="O60" s="231">
        <v>0</v>
      </c>
      <c r="P60" s="231">
        <v>1608</v>
      </c>
      <c r="Q60" s="231">
        <v>1453.933</v>
      </c>
      <c r="R60" s="231">
        <v>1453.933</v>
      </c>
      <c r="S60" s="328"/>
      <c r="T60" s="328"/>
      <c r="U60" s="231">
        <v>154.067</v>
      </c>
      <c r="V60" s="234">
        <v>1703.933</v>
      </c>
      <c r="W60" s="231">
        <v>0</v>
      </c>
      <c r="X60" s="233">
        <v>1754.642</v>
      </c>
      <c r="Y60" s="200">
        <v>0</v>
      </c>
      <c r="Z60" s="200">
        <v>1703.933</v>
      </c>
      <c r="AA60" s="242" t="e">
        <f>INDEX('[3]TONG HOP'!#REF!,MATCH(D60,'[3]TONG HOP'!$L$31:$L$400,0),335)+INDEX('[3]TONG HOP'!#REF!,MATCH(D60,'[3]TONG HOP'!$L$31:$L$400,0),336)</f>
        <v>#REF!</v>
      </c>
      <c r="AB60" s="242" t="e">
        <f>INDEX('[3]TONG HOP'!#REF!,MATCH(D60,'[3]TONG HOP'!$L$31:$L$400,0),367)</f>
        <v>#REF!</v>
      </c>
      <c r="AC60" s="246" t="e">
        <f>INDEX('[3]TONG HOP'!#REF!,MATCH(D60,'[3]TONG HOP'!$L$31:$L$400,0),364)</f>
        <v>#REF!</v>
      </c>
      <c r="AD60" s="242" t="e">
        <f>INDEX('[3]TONG HOP'!#REF!,MATCH(D60,'[3]TONG HOP'!$L$31:$L$400,0),4)</f>
        <v>#REF!</v>
      </c>
      <c r="AE60" s="245">
        <f>INDEX('[4]BIeu 03KBQT'!$A$11:$X$178,MATCH(D60,'[4]BIeu 03KBQT'!$D$11:$D$178,0),6)/1000000</f>
        <v>50.709</v>
      </c>
      <c r="AF60" s="244">
        <f t="shared" si="2"/>
        <v>0</v>
      </c>
      <c r="AG60" s="203">
        <f>INDEX('[4]BIeu 03KBQT'!$A$11:$X$178,MATCH(D60,'[4]BIeu 03KBQT'!$D$11:$D$178,0),24)/1000000</f>
        <v>1754.642</v>
      </c>
      <c r="AH60" s="204">
        <f t="shared" si="1"/>
        <v>0</v>
      </c>
    </row>
    <row r="61" spans="1:34" s="200" customFormat="1" ht="13.5">
      <c r="A61" s="329">
        <v>24</v>
      </c>
      <c r="B61" s="240" t="s">
        <v>336</v>
      </c>
      <c r="C61" s="329" t="s">
        <v>305</v>
      </c>
      <c r="D61" s="241">
        <v>7557549</v>
      </c>
      <c r="E61" s="231">
        <v>1793.076</v>
      </c>
      <c r="F61" s="232">
        <v>709.774</v>
      </c>
      <c r="G61" s="231">
        <v>289.606</v>
      </c>
      <c r="H61" s="233">
        <v>0</v>
      </c>
      <c r="I61" s="231">
        <v>289.606</v>
      </c>
      <c r="J61" s="231">
        <v>50</v>
      </c>
      <c r="K61" s="231">
        <v>50</v>
      </c>
      <c r="L61" s="231">
        <v>50</v>
      </c>
      <c r="M61" s="328"/>
      <c r="N61" s="328"/>
      <c r="O61" s="231">
        <v>0</v>
      </c>
      <c r="P61" s="231">
        <v>806</v>
      </c>
      <c r="Q61" s="231">
        <v>803.793</v>
      </c>
      <c r="R61" s="231">
        <v>803.793</v>
      </c>
      <c r="S61" s="328"/>
      <c r="T61" s="328"/>
      <c r="U61" s="231">
        <v>2.2069999999999936</v>
      </c>
      <c r="V61" s="234">
        <v>1143.399</v>
      </c>
      <c r="W61" s="231">
        <v>0</v>
      </c>
      <c r="X61" s="233">
        <v>1563.567</v>
      </c>
      <c r="Y61" s="200">
        <v>0</v>
      </c>
      <c r="Z61" s="200">
        <v>853.793</v>
      </c>
      <c r="AA61" s="242" t="e">
        <f>INDEX('[3]TONG HOP'!#REF!,MATCH(D61,'[3]TONG HOP'!$L$31:$L$400,0),335)+INDEX('[3]TONG HOP'!#REF!,MATCH(D61,'[3]TONG HOP'!$L$31:$L$400,0),336)</f>
        <v>#REF!</v>
      </c>
      <c r="AB61" s="242" t="e">
        <f>INDEX('[3]TONG HOP'!#REF!,MATCH(D61,'[3]TONG HOP'!$L$31:$L$400,0),367)</f>
        <v>#REF!</v>
      </c>
      <c r="AC61" s="246" t="e">
        <f>INDEX('[3]TONG HOP'!#REF!,MATCH(D61,'[3]TONG HOP'!$L$31:$L$400,0),364)</f>
        <v>#REF!</v>
      </c>
      <c r="AD61" s="242" t="e">
        <f>INDEX('[3]TONG HOP'!#REF!,MATCH(D61,'[3]TONG HOP'!$L$31:$L$400,0),4)</f>
        <v>#REF!</v>
      </c>
      <c r="AE61" s="245">
        <f>INDEX('[4]BIeu 03KBQT'!$A$11:$X$178,MATCH(D61,'[4]BIeu 03KBQT'!$D$11:$D$178,0),6)/1000000</f>
        <v>709.774</v>
      </c>
      <c r="AF61" s="244">
        <f t="shared" si="2"/>
        <v>0</v>
      </c>
      <c r="AG61" s="203">
        <f>INDEX('[4]BIeu 03KBQT'!$A$11:$X$178,MATCH(D61,'[4]BIeu 03KBQT'!$D$11:$D$178,0),24)/1000000</f>
        <v>1563.567</v>
      </c>
      <c r="AH61" s="204">
        <f t="shared" si="1"/>
        <v>0</v>
      </c>
    </row>
    <row r="62" spans="1:34" s="200" customFormat="1" ht="27">
      <c r="A62" s="329">
        <v>25</v>
      </c>
      <c r="B62" s="240" t="s">
        <v>337</v>
      </c>
      <c r="C62" s="329" t="s">
        <v>305</v>
      </c>
      <c r="D62" s="241">
        <v>7562657</v>
      </c>
      <c r="E62" s="231">
        <v>45252.975</v>
      </c>
      <c r="F62" s="232">
        <v>0</v>
      </c>
      <c r="G62" s="231">
        <v>0</v>
      </c>
      <c r="H62" s="233">
        <v>0</v>
      </c>
      <c r="I62" s="231">
        <v>0</v>
      </c>
      <c r="J62" s="231"/>
      <c r="K62" s="231"/>
      <c r="L62" s="328"/>
      <c r="M62" s="328"/>
      <c r="N62" s="328"/>
      <c r="O62" s="231">
        <v>0</v>
      </c>
      <c r="P62" s="231">
        <v>14000</v>
      </c>
      <c r="Q62" s="231">
        <v>14000</v>
      </c>
      <c r="R62" s="231">
        <v>3509.638000000001</v>
      </c>
      <c r="S62" s="231">
        <v>10490.362</v>
      </c>
      <c r="T62" s="328"/>
      <c r="U62" s="231">
        <v>0</v>
      </c>
      <c r="V62" s="234">
        <v>3509.638000000001</v>
      </c>
      <c r="W62" s="231">
        <v>10490.362</v>
      </c>
      <c r="X62" s="233">
        <v>14000</v>
      </c>
      <c r="Y62" s="200">
        <v>10490.362</v>
      </c>
      <c r="Z62" s="200">
        <v>14000</v>
      </c>
      <c r="AA62" s="242" t="e">
        <f>INDEX('[3]TONG HOP'!#REF!,MATCH(D62,'[3]TONG HOP'!$L$31:$L$400,0),335)+INDEX('[3]TONG HOP'!#REF!,MATCH(D62,'[3]TONG HOP'!$L$31:$L$400,0),336)</f>
        <v>#REF!</v>
      </c>
      <c r="AB62" s="242" t="e">
        <f>INDEX('[3]TONG HOP'!#REF!,MATCH(D62,'[3]TONG HOP'!$L$31:$L$400,0),367)</f>
        <v>#REF!</v>
      </c>
      <c r="AC62" s="246" t="e">
        <f>INDEX('[3]TONG HOP'!#REF!,MATCH(D62,'[3]TONG HOP'!$L$31:$L$400,0),364)</f>
        <v>#REF!</v>
      </c>
      <c r="AD62" s="242" t="e">
        <f>INDEX('[3]TONG HOP'!#REF!,MATCH(D62,'[3]TONG HOP'!$L$31:$L$400,0),4)</f>
        <v>#REF!</v>
      </c>
      <c r="AE62" s="245" t="e">
        <f>INDEX('[4]BIeu 03KBQT'!$A$11:$X$178,MATCH(D62,'[4]BIeu 03KBQT'!$D$11:$D$178,0),6)/1000000</f>
        <v>#REF!</v>
      </c>
      <c r="AG62" s="203">
        <f>INDEX('[4]BIeu 03KBQT'!$A$11:$X$178,MATCH(D62,'[4]BIeu 03KBQT'!$D$11:$D$178,0),24)/1000000</f>
        <v>14000</v>
      </c>
      <c r="AH62" s="204">
        <f t="shared" si="1"/>
        <v>0</v>
      </c>
    </row>
    <row r="63" spans="1:34" s="200" customFormat="1" ht="40.5">
      <c r="A63" s="329">
        <v>26</v>
      </c>
      <c r="B63" s="240" t="s">
        <v>338</v>
      </c>
      <c r="C63" s="329" t="s">
        <v>305</v>
      </c>
      <c r="D63" s="241">
        <v>7564432</v>
      </c>
      <c r="E63" s="231">
        <v>1299.026</v>
      </c>
      <c r="F63" s="232">
        <v>1150.686</v>
      </c>
      <c r="G63" s="231">
        <v>20.312</v>
      </c>
      <c r="H63" s="233">
        <v>0</v>
      </c>
      <c r="I63" s="231">
        <v>20.312</v>
      </c>
      <c r="J63" s="231"/>
      <c r="K63" s="231"/>
      <c r="L63" s="328"/>
      <c r="M63" s="328"/>
      <c r="N63" s="328"/>
      <c r="O63" s="231">
        <v>0</v>
      </c>
      <c r="P63" s="231">
        <v>6.267</v>
      </c>
      <c r="Q63" s="231">
        <v>6.267</v>
      </c>
      <c r="R63" s="231">
        <v>6.267</v>
      </c>
      <c r="S63" s="328"/>
      <c r="T63" s="328"/>
      <c r="U63" s="231">
        <v>0</v>
      </c>
      <c r="V63" s="234">
        <v>26.579</v>
      </c>
      <c r="W63" s="231">
        <v>0</v>
      </c>
      <c r="X63" s="233">
        <v>1156.953</v>
      </c>
      <c r="Y63" s="200">
        <v>0</v>
      </c>
      <c r="Z63" s="200">
        <v>6.267</v>
      </c>
      <c r="AA63" s="242" t="e">
        <f>INDEX('[3]TONG HOP'!#REF!,MATCH(D63,'[3]TONG HOP'!$L$31:$L$400,0),335)+INDEX('[3]TONG HOP'!#REF!,MATCH(D63,'[3]TONG HOP'!$L$31:$L$400,0),336)</f>
        <v>#REF!</v>
      </c>
      <c r="AB63" s="242" t="e">
        <f>INDEX('[3]TONG HOP'!#REF!,MATCH(D63,'[3]TONG HOP'!$L$31:$L$400,0),367)</f>
        <v>#REF!</v>
      </c>
      <c r="AC63" s="246" t="e">
        <f>INDEX('[3]TONG HOP'!#REF!,MATCH(D63,'[3]TONG HOP'!$L$31:$L$400,0),364)</f>
        <v>#REF!</v>
      </c>
      <c r="AD63" s="242" t="e">
        <f>INDEX('[3]TONG HOP'!#REF!,MATCH(D63,'[3]TONG HOP'!$L$31:$L$400,0),4)</f>
        <v>#REF!</v>
      </c>
      <c r="AE63" s="245">
        <f>INDEX('[4]BIeu 03KBQT'!$A$11:$X$178,MATCH(D63,'[4]BIeu 03KBQT'!$D$11:$D$178,0),6)/1000000</f>
        <v>1150.686</v>
      </c>
      <c r="AF63" s="244">
        <f t="shared" si="2"/>
        <v>0</v>
      </c>
      <c r="AG63" s="203">
        <f>INDEX('[4]BIeu 03KBQT'!$A$11:$X$178,MATCH(D63,'[4]BIeu 03KBQT'!$D$11:$D$178,0),24)/1000000</f>
        <v>1156.953</v>
      </c>
      <c r="AH63" s="204">
        <f t="shared" si="1"/>
        <v>0</v>
      </c>
    </row>
    <row r="64" spans="1:34" s="200" customFormat="1" ht="43.5" customHeight="1">
      <c r="A64" s="329">
        <v>27</v>
      </c>
      <c r="B64" s="240" t="s">
        <v>339</v>
      </c>
      <c r="C64" s="329" t="s">
        <v>305</v>
      </c>
      <c r="D64" s="241">
        <v>7565464</v>
      </c>
      <c r="E64" s="231">
        <v>2244.86</v>
      </c>
      <c r="F64" s="232">
        <v>45.686</v>
      </c>
      <c r="G64" s="231">
        <v>0</v>
      </c>
      <c r="H64" s="233">
        <v>0</v>
      </c>
      <c r="I64" s="231">
        <v>0</v>
      </c>
      <c r="J64" s="231">
        <v>400</v>
      </c>
      <c r="K64" s="231">
        <v>400</v>
      </c>
      <c r="L64" s="231">
        <v>400</v>
      </c>
      <c r="M64" s="328"/>
      <c r="N64" s="328"/>
      <c r="O64" s="231">
        <v>0</v>
      </c>
      <c r="P64" s="231">
        <v>1677</v>
      </c>
      <c r="Q64" s="231">
        <v>1590.981</v>
      </c>
      <c r="R64" s="231">
        <v>1590.981</v>
      </c>
      <c r="S64" s="328"/>
      <c r="T64" s="328"/>
      <c r="U64" s="231">
        <v>86.019</v>
      </c>
      <c r="V64" s="234">
        <v>1990.981</v>
      </c>
      <c r="W64" s="231">
        <v>0</v>
      </c>
      <c r="X64" s="233">
        <v>2036.667</v>
      </c>
      <c r="Y64" s="200">
        <v>0</v>
      </c>
      <c r="Z64" s="200">
        <v>1990.981</v>
      </c>
      <c r="AA64" s="242" t="e">
        <f>INDEX('[3]TONG HOP'!#REF!,MATCH(D64,'[3]TONG HOP'!$L$31:$L$400,0),335)+INDEX('[3]TONG HOP'!#REF!,MATCH(D64,'[3]TONG HOP'!$L$31:$L$400,0),336)</f>
        <v>#REF!</v>
      </c>
      <c r="AB64" s="242" t="e">
        <f>INDEX('[3]TONG HOP'!#REF!,MATCH(D64,'[3]TONG HOP'!$L$31:$L$400,0),367)</f>
        <v>#REF!</v>
      </c>
      <c r="AC64" s="246" t="e">
        <f>INDEX('[3]TONG HOP'!#REF!,MATCH(D64,'[3]TONG HOP'!$L$31:$L$400,0),364)</f>
        <v>#REF!</v>
      </c>
      <c r="AD64" s="242" t="e">
        <f>INDEX('[3]TONG HOP'!#REF!,MATCH(D64,'[3]TONG HOP'!$L$31:$L$400,0),4)</f>
        <v>#REF!</v>
      </c>
      <c r="AE64" s="245">
        <f>INDEX('[4]BIeu 03KBQT'!$A$11:$X$178,MATCH(D64,'[4]BIeu 03KBQT'!$D$11:$D$178,0),6)/1000000</f>
        <v>45.686</v>
      </c>
      <c r="AF64" s="244">
        <f t="shared" si="2"/>
        <v>0</v>
      </c>
      <c r="AG64" s="203">
        <f>INDEX('[4]BIeu 03KBQT'!$A$11:$X$178,MATCH(D64,'[4]BIeu 03KBQT'!$D$11:$D$178,0),24)/1000000</f>
        <v>2036.667</v>
      </c>
      <c r="AH64" s="204">
        <f t="shared" si="1"/>
        <v>0</v>
      </c>
    </row>
    <row r="65" spans="1:34" s="200" customFormat="1" ht="39" customHeight="1">
      <c r="A65" s="329">
        <v>28</v>
      </c>
      <c r="B65" s="240" t="s">
        <v>340</v>
      </c>
      <c r="C65" s="329" t="s">
        <v>305</v>
      </c>
      <c r="D65" s="241">
        <v>7565466</v>
      </c>
      <c r="E65" s="231">
        <v>1118.959</v>
      </c>
      <c r="F65" s="232">
        <v>238.358</v>
      </c>
      <c r="G65" s="231">
        <v>208.629</v>
      </c>
      <c r="H65" s="233">
        <v>0</v>
      </c>
      <c r="I65" s="231">
        <v>208.629</v>
      </c>
      <c r="J65" s="231">
        <v>200</v>
      </c>
      <c r="K65" s="231">
        <v>200</v>
      </c>
      <c r="L65" s="231">
        <v>200</v>
      </c>
      <c r="M65" s="328"/>
      <c r="N65" s="328"/>
      <c r="O65" s="231">
        <v>0</v>
      </c>
      <c r="P65" s="231">
        <v>705</v>
      </c>
      <c r="Q65" s="231">
        <v>623.516</v>
      </c>
      <c r="R65" s="231">
        <v>623.516</v>
      </c>
      <c r="S65" s="328"/>
      <c r="T65" s="328"/>
      <c r="U65" s="231">
        <v>81.48400000000004</v>
      </c>
      <c r="V65" s="234">
        <v>1032.145</v>
      </c>
      <c r="W65" s="231">
        <v>0</v>
      </c>
      <c r="X65" s="233">
        <v>1061.874</v>
      </c>
      <c r="Y65" s="200">
        <v>0</v>
      </c>
      <c r="Z65" s="200">
        <v>823.516</v>
      </c>
      <c r="AA65" s="242" t="e">
        <f>INDEX('[3]TONG HOP'!#REF!,MATCH(D65,'[3]TONG HOP'!$L$31:$L$400,0),335)+INDEX('[3]TONG HOP'!#REF!,MATCH(D65,'[3]TONG HOP'!$L$31:$L$400,0),336)</f>
        <v>#REF!</v>
      </c>
      <c r="AB65" s="242" t="e">
        <f>INDEX('[3]TONG HOP'!#REF!,MATCH(D65,'[3]TONG HOP'!$L$31:$L$400,0),367)</f>
        <v>#REF!</v>
      </c>
      <c r="AC65" s="246" t="e">
        <f>INDEX('[3]TONG HOP'!#REF!,MATCH(D65,'[3]TONG HOP'!$L$31:$L$400,0),364)</f>
        <v>#REF!</v>
      </c>
      <c r="AD65" s="242" t="e">
        <f>INDEX('[3]TONG HOP'!#REF!,MATCH(D65,'[3]TONG HOP'!$L$31:$L$400,0),4)</f>
        <v>#REF!</v>
      </c>
      <c r="AE65" s="245">
        <f>INDEX('[4]BIeu 03KBQT'!$A$11:$X$178,MATCH(D65,'[4]BIeu 03KBQT'!$D$11:$D$178,0),6)/1000000</f>
        <v>238.358</v>
      </c>
      <c r="AF65" s="244">
        <f t="shared" si="2"/>
        <v>0</v>
      </c>
      <c r="AG65" s="203">
        <f>INDEX('[4]BIeu 03KBQT'!$A$11:$X$178,MATCH(D65,'[4]BIeu 03KBQT'!$D$11:$D$178,0),24)/1000000</f>
        <v>1061.874</v>
      </c>
      <c r="AH65" s="204">
        <f t="shared" si="1"/>
        <v>0</v>
      </c>
    </row>
    <row r="66" spans="1:34" s="200" customFormat="1" ht="51" customHeight="1">
      <c r="A66" s="329">
        <v>29</v>
      </c>
      <c r="B66" s="240" t="s">
        <v>341</v>
      </c>
      <c r="C66" s="329" t="s">
        <v>305</v>
      </c>
      <c r="D66" s="241">
        <v>7565471</v>
      </c>
      <c r="E66" s="231">
        <v>2779.304</v>
      </c>
      <c r="F66" s="232">
        <v>906.963</v>
      </c>
      <c r="G66" s="231">
        <v>495.891</v>
      </c>
      <c r="H66" s="233">
        <v>0</v>
      </c>
      <c r="I66" s="231">
        <v>495.891</v>
      </c>
      <c r="J66" s="231">
        <v>200</v>
      </c>
      <c r="K66" s="231">
        <v>200</v>
      </c>
      <c r="L66" s="231">
        <v>200</v>
      </c>
      <c r="M66" s="328"/>
      <c r="N66" s="328"/>
      <c r="O66" s="231">
        <v>0</v>
      </c>
      <c r="P66" s="231">
        <v>1392</v>
      </c>
      <c r="Q66" s="231">
        <v>1323.919</v>
      </c>
      <c r="R66" s="231">
        <v>1323.919</v>
      </c>
      <c r="S66" s="328"/>
      <c r="T66" s="328"/>
      <c r="U66" s="231">
        <v>68.0809999999999</v>
      </c>
      <c r="V66" s="234">
        <v>2019.8100000000002</v>
      </c>
      <c r="W66" s="231">
        <v>0</v>
      </c>
      <c r="X66" s="233">
        <v>2430.882</v>
      </c>
      <c r="Y66" s="200">
        <v>0</v>
      </c>
      <c r="Z66" s="200">
        <v>1523.919</v>
      </c>
      <c r="AA66" s="242" t="e">
        <f>INDEX('[3]TONG HOP'!#REF!,MATCH(D66,'[3]TONG HOP'!$L$31:$L$400,0),335)+INDEX('[3]TONG HOP'!#REF!,MATCH(D66,'[3]TONG HOP'!$L$31:$L$400,0),336)</f>
        <v>#REF!</v>
      </c>
      <c r="AB66" s="242" t="e">
        <f>INDEX('[3]TONG HOP'!#REF!,MATCH(D66,'[3]TONG HOP'!$L$31:$L$400,0),367)</f>
        <v>#REF!</v>
      </c>
      <c r="AC66" s="246" t="e">
        <f>INDEX('[3]TONG HOP'!#REF!,MATCH(D66,'[3]TONG HOP'!$L$31:$L$400,0),364)</f>
        <v>#REF!</v>
      </c>
      <c r="AD66" s="242" t="e">
        <f>INDEX('[3]TONG HOP'!#REF!,MATCH(D66,'[3]TONG HOP'!$L$31:$L$400,0),4)</f>
        <v>#REF!</v>
      </c>
      <c r="AE66" s="245">
        <f>INDEX('[4]BIeu 03KBQT'!$A$11:$X$178,MATCH(D66,'[4]BIeu 03KBQT'!$D$11:$D$178,0),6)/1000000</f>
        <v>906.963</v>
      </c>
      <c r="AF66" s="244">
        <f t="shared" si="2"/>
        <v>0</v>
      </c>
      <c r="AG66" s="203">
        <f>INDEX('[4]BIeu 03KBQT'!$A$11:$X$178,MATCH(D66,'[4]BIeu 03KBQT'!$D$11:$D$178,0),24)/1000000</f>
        <v>2430.882</v>
      </c>
      <c r="AH66" s="204">
        <f t="shared" si="1"/>
        <v>0</v>
      </c>
    </row>
    <row r="67" spans="1:34" s="200" customFormat="1" ht="41.25" customHeight="1">
      <c r="A67" s="329">
        <v>30</v>
      </c>
      <c r="B67" s="240" t="s">
        <v>342</v>
      </c>
      <c r="C67" s="329" t="s">
        <v>305</v>
      </c>
      <c r="D67" s="248">
        <v>7565726</v>
      </c>
      <c r="E67" s="231">
        <v>5832</v>
      </c>
      <c r="F67" s="232">
        <v>1327.389</v>
      </c>
      <c r="G67" s="231">
        <v>195.458</v>
      </c>
      <c r="H67" s="233">
        <v>145.841</v>
      </c>
      <c r="I67" s="231">
        <v>49.61699999999999</v>
      </c>
      <c r="J67" s="231">
        <v>2396</v>
      </c>
      <c r="K67" s="231">
        <v>2396</v>
      </c>
      <c r="L67" s="231">
        <v>2396</v>
      </c>
      <c r="M67" s="328"/>
      <c r="N67" s="328"/>
      <c r="O67" s="231">
        <v>0</v>
      </c>
      <c r="P67" s="231">
        <v>1329</v>
      </c>
      <c r="Q67" s="231">
        <v>1329</v>
      </c>
      <c r="R67" s="231">
        <v>1329</v>
      </c>
      <c r="S67" s="328"/>
      <c r="T67" s="328"/>
      <c r="U67" s="231">
        <v>0</v>
      </c>
      <c r="V67" s="234">
        <v>3774.617</v>
      </c>
      <c r="W67" s="231">
        <v>0</v>
      </c>
      <c r="X67" s="233">
        <v>4906.548</v>
      </c>
      <c r="Y67" s="200">
        <v>0</v>
      </c>
      <c r="Z67" s="200">
        <v>3725</v>
      </c>
      <c r="AA67" s="242" t="e">
        <f>INDEX('[3]TONG HOP'!#REF!,MATCH(D67,'[3]TONG HOP'!$L$31:$L$400,0),335)+INDEX('[3]TONG HOP'!#REF!,MATCH(D67,'[3]TONG HOP'!$L$31:$L$400,0),336)</f>
        <v>#REF!</v>
      </c>
      <c r="AB67" s="242" t="e">
        <f>INDEX('[3]TONG HOP'!#REF!,MATCH(D67,'[3]TONG HOP'!$L$31:$L$400,0),367)</f>
        <v>#REF!</v>
      </c>
      <c r="AC67" s="246" t="e">
        <f>INDEX('[3]TONG HOP'!#REF!,MATCH(D67,'[3]TONG HOP'!$L$31:$L$400,0),364)</f>
        <v>#REF!</v>
      </c>
      <c r="AD67" s="242" t="e">
        <f>INDEX('[3]TONG HOP'!#REF!,MATCH(D67,'[3]TONG HOP'!$L$31:$L$400,0),4)</f>
        <v>#REF!</v>
      </c>
      <c r="AE67" s="245">
        <f>INDEX('[4]BIeu 03KBQT'!$A$11:$X$178,MATCH(D67,'[4]BIeu 03KBQT'!$D$11:$D$178,0),6)/1000000</f>
        <v>1181.548</v>
      </c>
      <c r="AF67" s="244">
        <f t="shared" si="2"/>
        <v>-145.8409999999999</v>
      </c>
      <c r="AG67" s="203">
        <f>INDEX('[4]BIeu 03KBQT'!$A$11:$X$178,MATCH(D67,'[4]BIeu 03KBQT'!$D$11:$D$178,0),24)/1000000</f>
        <v>4906.548</v>
      </c>
      <c r="AH67" s="204">
        <f t="shared" si="1"/>
        <v>0</v>
      </c>
    </row>
    <row r="68" spans="1:34" s="200" customFormat="1" ht="41.25" customHeight="1">
      <c r="A68" s="329">
        <v>31</v>
      </c>
      <c r="B68" s="240" t="s">
        <v>343</v>
      </c>
      <c r="C68" s="329" t="s">
        <v>305</v>
      </c>
      <c r="D68" s="241">
        <v>7572362</v>
      </c>
      <c r="E68" s="231">
        <v>1147</v>
      </c>
      <c r="F68" s="232">
        <v>31.392</v>
      </c>
      <c r="G68" s="231">
        <v>0</v>
      </c>
      <c r="H68" s="233">
        <v>0</v>
      </c>
      <c r="I68" s="231">
        <v>0</v>
      </c>
      <c r="J68" s="231">
        <v>665</v>
      </c>
      <c r="K68" s="231">
        <v>665</v>
      </c>
      <c r="L68" s="231">
        <v>665</v>
      </c>
      <c r="M68" s="328"/>
      <c r="N68" s="328"/>
      <c r="O68" s="231">
        <v>0</v>
      </c>
      <c r="P68" s="231">
        <v>415</v>
      </c>
      <c r="Q68" s="231">
        <v>414.0540000000001</v>
      </c>
      <c r="R68" s="231">
        <v>414.0540000000001</v>
      </c>
      <c r="S68" s="328"/>
      <c r="T68" s="328"/>
      <c r="U68" s="231">
        <v>0.9459999999999127</v>
      </c>
      <c r="V68" s="234">
        <v>1079.054</v>
      </c>
      <c r="W68" s="231">
        <v>0</v>
      </c>
      <c r="X68" s="233">
        <v>1110.4460000000001</v>
      </c>
      <c r="Y68" s="200">
        <v>0</v>
      </c>
      <c r="Z68" s="200">
        <v>1079.054</v>
      </c>
      <c r="AA68" s="242" t="e">
        <f>INDEX('[3]TONG HOP'!#REF!,MATCH(D68,'[3]TONG HOP'!$L$31:$L$400,0),335)+INDEX('[3]TONG HOP'!#REF!,MATCH(D68,'[3]TONG HOP'!$L$31:$L$400,0),336)</f>
        <v>#REF!</v>
      </c>
      <c r="AB68" s="242" t="e">
        <f>INDEX('[3]TONG HOP'!#REF!,MATCH(D68,'[3]TONG HOP'!$L$31:$L$400,0),367)</f>
        <v>#REF!</v>
      </c>
      <c r="AC68" s="246" t="e">
        <f>INDEX('[3]TONG HOP'!#REF!,MATCH(D68,'[3]TONG HOP'!$L$31:$L$400,0),364)</f>
        <v>#REF!</v>
      </c>
      <c r="AD68" s="242" t="e">
        <f>INDEX('[3]TONG HOP'!#REF!,MATCH(D68,'[3]TONG HOP'!$L$31:$L$400,0),4)</f>
        <v>#REF!</v>
      </c>
      <c r="AE68" s="245">
        <f>INDEX('[4]BIeu 03KBQT'!$A$11:$X$178,MATCH(D68,'[4]BIeu 03KBQT'!$D$11:$D$178,0),6)/1000000</f>
        <v>31.392</v>
      </c>
      <c r="AF68" s="244">
        <f t="shared" si="2"/>
        <v>0</v>
      </c>
      <c r="AG68" s="203">
        <f>INDEX('[4]BIeu 03KBQT'!$A$11:$X$178,MATCH(D68,'[4]BIeu 03KBQT'!$D$11:$D$178,0),24)/1000000</f>
        <v>1110.446</v>
      </c>
      <c r="AH68" s="204">
        <f t="shared" si="1"/>
        <v>0</v>
      </c>
    </row>
    <row r="69" spans="1:34" s="200" customFormat="1" ht="41.25" customHeight="1">
      <c r="A69" s="329">
        <v>32</v>
      </c>
      <c r="B69" s="240" t="s">
        <v>344</v>
      </c>
      <c r="C69" s="329" t="s">
        <v>305</v>
      </c>
      <c r="D69" s="241">
        <v>7591476</v>
      </c>
      <c r="E69" s="231">
        <v>1148.84</v>
      </c>
      <c r="F69" s="232">
        <v>0</v>
      </c>
      <c r="G69" s="231">
        <v>0</v>
      </c>
      <c r="H69" s="233">
        <v>0</v>
      </c>
      <c r="I69" s="231">
        <v>0</v>
      </c>
      <c r="J69" s="231"/>
      <c r="K69" s="231"/>
      <c r="L69" s="231"/>
      <c r="M69" s="328"/>
      <c r="N69" s="328"/>
      <c r="O69" s="231">
        <v>0</v>
      </c>
      <c r="P69" s="231">
        <v>950</v>
      </c>
      <c r="Q69" s="231">
        <v>949.371</v>
      </c>
      <c r="R69" s="231">
        <v>949.371</v>
      </c>
      <c r="S69" s="328"/>
      <c r="T69" s="328"/>
      <c r="U69" s="231">
        <v>0.6290000000000191</v>
      </c>
      <c r="V69" s="234">
        <v>949.371</v>
      </c>
      <c r="W69" s="231">
        <v>0</v>
      </c>
      <c r="X69" s="233">
        <v>949.371</v>
      </c>
      <c r="Y69" s="200">
        <v>0</v>
      </c>
      <c r="Z69" s="200">
        <v>949.371</v>
      </c>
      <c r="AA69" s="242" t="e">
        <f>INDEX('[3]TONG HOP'!#REF!,MATCH(D69,'[3]TONG HOP'!$L$31:$L$400,0),335)+INDEX('[3]TONG HOP'!#REF!,MATCH(D69,'[3]TONG HOP'!$L$31:$L$400,0),336)</f>
        <v>#REF!</v>
      </c>
      <c r="AB69" s="242" t="e">
        <f>INDEX('[3]TONG HOP'!#REF!,MATCH(D69,'[3]TONG HOP'!$L$31:$L$400,0),367)</f>
        <v>#REF!</v>
      </c>
      <c r="AC69" s="246" t="e">
        <f>INDEX('[3]TONG HOP'!#REF!,MATCH(D69,'[3]TONG HOP'!$L$31:$L$400,0),364)</f>
        <v>#REF!</v>
      </c>
      <c r="AD69" s="242" t="e">
        <f>INDEX('[3]TONG HOP'!#REF!,MATCH(D69,'[3]TONG HOP'!$L$31:$L$400,0),4)</f>
        <v>#REF!</v>
      </c>
      <c r="AE69" s="245" t="e">
        <f>INDEX('[4]BIeu 03KBQT'!$A$11:$X$178,MATCH(D69,'[4]BIeu 03KBQT'!$D$11:$D$178,0),6)/1000000</f>
        <v>#REF!</v>
      </c>
      <c r="AF69" s="244" t="e">
        <f t="shared" si="2"/>
        <v>#REF!</v>
      </c>
      <c r="AG69" s="203">
        <f>INDEX('[4]BIeu 03KBQT'!$A$11:$X$178,MATCH(D69,'[4]BIeu 03KBQT'!$D$11:$D$178,0),24)/1000000</f>
        <v>949.371</v>
      </c>
      <c r="AH69" s="204">
        <f t="shared" si="1"/>
        <v>0</v>
      </c>
    </row>
    <row r="70" spans="1:34" s="200" customFormat="1" ht="47.25" customHeight="1">
      <c r="A70" s="329">
        <v>33</v>
      </c>
      <c r="B70" s="240" t="s">
        <v>345</v>
      </c>
      <c r="C70" s="329" t="s">
        <v>305</v>
      </c>
      <c r="D70" s="241">
        <v>7600800</v>
      </c>
      <c r="E70" s="231">
        <v>2995</v>
      </c>
      <c r="F70" s="232">
        <v>45.758</v>
      </c>
      <c r="G70" s="231">
        <v>0</v>
      </c>
      <c r="H70" s="233">
        <v>0</v>
      </c>
      <c r="I70" s="231">
        <v>0</v>
      </c>
      <c r="J70" s="231">
        <v>150</v>
      </c>
      <c r="K70" s="231">
        <v>150</v>
      </c>
      <c r="L70" s="231">
        <v>150</v>
      </c>
      <c r="M70" s="328"/>
      <c r="N70" s="328"/>
      <c r="O70" s="231">
        <v>0</v>
      </c>
      <c r="P70" s="231">
        <v>1850</v>
      </c>
      <c r="Q70" s="231">
        <v>1799.777</v>
      </c>
      <c r="R70" s="231">
        <v>1336.717</v>
      </c>
      <c r="S70" s="231">
        <v>463.06</v>
      </c>
      <c r="T70" s="328"/>
      <c r="U70" s="231">
        <v>50.222999999999956</v>
      </c>
      <c r="V70" s="234">
        <v>1486.717</v>
      </c>
      <c r="W70" s="231">
        <v>463.06</v>
      </c>
      <c r="X70" s="233">
        <v>1995.535</v>
      </c>
      <c r="Y70" s="200">
        <v>463.06</v>
      </c>
      <c r="Z70" s="200">
        <v>1949.777</v>
      </c>
      <c r="AA70" s="242" t="e">
        <f>INDEX('[3]TONG HOP'!#REF!,MATCH(D70,'[3]TONG HOP'!$L$31:$L$400,0),335)+INDEX('[3]TONG HOP'!#REF!,MATCH(D70,'[3]TONG HOP'!$L$31:$L$400,0),336)</f>
        <v>#REF!</v>
      </c>
      <c r="AB70" s="242" t="e">
        <f>INDEX('[3]TONG HOP'!#REF!,MATCH(D70,'[3]TONG HOP'!$L$31:$L$400,0),367)</f>
        <v>#REF!</v>
      </c>
      <c r="AC70" s="246" t="e">
        <f>INDEX('[3]TONG HOP'!#REF!,MATCH(D70,'[3]TONG HOP'!$L$31:$L$400,0),364)</f>
        <v>#REF!</v>
      </c>
      <c r="AD70" s="242" t="e">
        <f>INDEX('[3]TONG HOP'!#REF!,MATCH(D70,'[3]TONG HOP'!$L$31:$L$400,0),4)</f>
        <v>#REF!</v>
      </c>
      <c r="AE70" s="245">
        <f>INDEX('[4]BIeu 03KBQT'!$A$11:$X$178,MATCH(D70,'[4]BIeu 03KBQT'!$D$11:$D$178,0),6)/1000000</f>
        <v>45.758</v>
      </c>
      <c r="AF70" s="244">
        <f t="shared" si="2"/>
        <v>0</v>
      </c>
      <c r="AG70" s="203">
        <f>INDEX('[4]BIeu 03KBQT'!$A$11:$X$178,MATCH(D70,'[4]BIeu 03KBQT'!$D$11:$D$178,0),24)/1000000</f>
        <v>1995.535</v>
      </c>
      <c r="AH70" s="204">
        <f t="shared" si="1"/>
        <v>0</v>
      </c>
    </row>
    <row r="71" spans="1:34" s="200" customFormat="1" ht="47.25" customHeight="1">
      <c r="A71" s="329">
        <v>34</v>
      </c>
      <c r="B71" s="240" t="s">
        <v>346</v>
      </c>
      <c r="C71" s="329" t="s">
        <v>305</v>
      </c>
      <c r="D71" s="241">
        <v>7649544</v>
      </c>
      <c r="E71" s="231">
        <v>856.805</v>
      </c>
      <c r="F71" s="232">
        <v>0</v>
      </c>
      <c r="G71" s="231">
        <v>0</v>
      </c>
      <c r="H71" s="233">
        <v>0</v>
      </c>
      <c r="I71" s="231">
        <v>0</v>
      </c>
      <c r="J71" s="231">
        <v>770</v>
      </c>
      <c r="K71" s="231">
        <v>534.735</v>
      </c>
      <c r="L71" s="231">
        <v>534.735</v>
      </c>
      <c r="M71" s="328"/>
      <c r="N71" s="328"/>
      <c r="O71" s="231">
        <v>235.265</v>
      </c>
      <c r="P71" s="231"/>
      <c r="Q71" s="231"/>
      <c r="R71" s="231"/>
      <c r="S71" s="328"/>
      <c r="T71" s="328"/>
      <c r="U71" s="231">
        <v>0</v>
      </c>
      <c r="V71" s="234">
        <v>534.735</v>
      </c>
      <c r="W71" s="231">
        <v>0</v>
      </c>
      <c r="X71" s="233">
        <v>534.735</v>
      </c>
      <c r="Y71" s="200">
        <v>0</v>
      </c>
      <c r="Z71" s="200">
        <v>534.735</v>
      </c>
      <c r="AA71" s="242" t="e">
        <f>INDEX('[3]TONG HOP'!#REF!,MATCH(D71,'[3]TONG HOP'!$L$31:$L$400,0),335)+INDEX('[3]TONG HOP'!#REF!,MATCH(D71,'[3]TONG HOP'!$L$31:$L$400,0),336)</f>
        <v>#REF!</v>
      </c>
      <c r="AB71" s="242" t="e">
        <f>INDEX('[3]TONG HOP'!#REF!,MATCH(D71,'[3]TONG HOP'!$L$31:$L$400,0),367)</f>
        <v>#REF!</v>
      </c>
      <c r="AC71" s="246" t="e">
        <f>INDEX('[3]TONG HOP'!#REF!,MATCH(D71,'[3]TONG HOP'!$L$31:$L$400,0),364)</f>
        <v>#REF!</v>
      </c>
      <c r="AD71" s="242" t="e">
        <f>INDEX('[3]TONG HOP'!#REF!,MATCH(D71,'[3]TONG HOP'!$L$31:$L$400,0),4)</f>
        <v>#REF!</v>
      </c>
      <c r="AE71" s="245" t="e">
        <f>INDEX('[4]BIeu 03KBQT'!$A$11:$X$178,MATCH(D71,'[4]BIeu 03KBQT'!$D$11:$D$178,0),6)/1000000</f>
        <v>#REF!</v>
      </c>
      <c r="AF71" s="244" t="e">
        <f t="shared" si="2"/>
        <v>#REF!</v>
      </c>
      <c r="AG71" s="203">
        <f>INDEX('[4]BIeu 03KBQT'!$A$11:$X$178,MATCH(D71,'[4]BIeu 03KBQT'!$D$11:$D$178,0),24)/1000000</f>
        <v>534.735</v>
      </c>
      <c r="AH71" s="204">
        <f t="shared" si="1"/>
        <v>0</v>
      </c>
    </row>
    <row r="72" spans="1:34" s="200" customFormat="1" ht="47.25" customHeight="1">
      <c r="A72" s="329">
        <v>35</v>
      </c>
      <c r="B72" s="240" t="s">
        <v>347</v>
      </c>
      <c r="C72" s="329" t="s">
        <v>305</v>
      </c>
      <c r="D72" s="241">
        <v>7649945</v>
      </c>
      <c r="E72" s="231">
        <v>615.729</v>
      </c>
      <c r="F72" s="232">
        <v>0</v>
      </c>
      <c r="G72" s="231">
        <v>0</v>
      </c>
      <c r="H72" s="233">
        <v>0</v>
      </c>
      <c r="I72" s="231">
        <v>0</v>
      </c>
      <c r="J72" s="231">
        <v>350</v>
      </c>
      <c r="K72" s="231">
        <v>331.072</v>
      </c>
      <c r="L72" s="231">
        <v>331.072</v>
      </c>
      <c r="M72" s="328"/>
      <c r="N72" s="328"/>
      <c r="O72" s="231">
        <v>18.927999999999997</v>
      </c>
      <c r="P72" s="231"/>
      <c r="Q72" s="231"/>
      <c r="R72" s="231"/>
      <c r="S72" s="328"/>
      <c r="T72" s="328"/>
      <c r="U72" s="231">
        <v>0</v>
      </c>
      <c r="V72" s="234">
        <v>331.072</v>
      </c>
      <c r="W72" s="231">
        <v>0</v>
      </c>
      <c r="X72" s="233">
        <v>331.072</v>
      </c>
      <c r="Y72" s="200">
        <v>0</v>
      </c>
      <c r="Z72" s="200">
        <v>331.072</v>
      </c>
      <c r="AA72" s="242" t="e">
        <f>INDEX('[3]TONG HOP'!#REF!,MATCH(D72,'[3]TONG HOP'!$L$31:$L$400,0),335)+INDEX('[3]TONG HOP'!#REF!,MATCH(D72,'[3]TONG HOP'!$L$31:$L$400,0),336)</f>
        <v>#REF!</v>
      </c>
      <c r="AB72" s="242" t="e">
        <f>INDEX('[3]TONG HOP'!#REF!,MATCH(D72,'[3]TONG HOP'!$L$31:$L$400,0),367)</f>
        <v>#REF!</v>
      </c>
      <c r="AC72" s="246" t="e">
        <f>INDEX('[3]TONG HOP'!#REF!,MATCH(D72,'[3]TONG HOP'!$L$31:$L$400,0),364)</f>
        <v>#REF!</v>
      </c>
      <c r="AD72" s="242" t="e">
        <f>INDEX('[3]TONG HOP'!#REF!,MATCH(D72,'[3]TONG HOP'!$L$31:$L$400,0),4)</f>
        <v>#REF!</v>
      </c>
      <c r="AE72" s="245" t="e">
        <f>INDEX('[4]BIeu 03KBQT'!$A$11:$X$178,MATCH(D72,'[4]BIeu 03KBQT'!$D$11:$D$178,0),6)/1000000</f>
        <v>#REF!</v>
      </c>
      <c r="AF72" s="244" t="e">
        <f t="shared" si="2"/>
        <v>#REF!</v>
      </c>
      <c r="AG72" s="203">
        <f>INDEX('[4]BIeu 03KBQT'!$A$11:$X$178,MATCH(D72,'[4]BIeu 03KBQT'!$D$11:$D$178,0),24)/1000000</f>
        <v>331.072</v>
      </c>
      <c r="AH72" s="204">
        <f t="shared" si="1"/>
        <v>0</v>
      </c>
    </row>
    <row r="73" spans="1:34" s="200" customFormat="1" ht="28.5" customHeight="1">
      <c r="A73" s="329">
        <v>36</v>
      </c>
      <c r="B73" s="240" t="s">
        <v>348</v>
      </c>
      <c r="C73" s="329" t="s">
        <v>305</v>
      </c>
      <c r="D73" s="241">
        <v>7369548</v>
      </c>
      <c r="E73" s="231">
        <v>5427.915</v>
      </c>
      <c r="F73" s="232">
        <v>2534.008</v>
      </c>
      <c r="G73" s="231">
        <v>0</v>
      </c>
      <c r="H73" s="233">
        <v>0</v>
      </c>
      <c r="I73" s="231">
        <v>0</v>
      </c>
      <c r="J73" s="231"/>
      <c r="K73" s="231"/>
      <c r="L73" s="328"/>
      <c r="M73" s="328"/>
      <c r="N73" s="328"/>
      <c r="O73" s="231">
        <v>0</v>
      </c>
      <c r="P73" s="231">
        <v>17.334</v>
      </c>
      <c r="Q73" s="231">
        <v>17.334</v>
      </c>
      <c r="R73" s="231">
        <v>17.334</v>
      </c>
      <c r="S73" s="328"/>
      <c r="T73" s="328"/>
      <c r="U73" s="231">
        <v>0</v>
      </c>
      <c r="V73" s="234">
        <v>17.334</v>
      </c>
      <c r="W73" s="231">
        <v>0</v>
      </c>
      <c r="X73" s="233">
        <v>2551.3419999999996</v>
      </c>
      <c r="Y73" s="200">
        <v>0</v>
      </c>
      <c r="Z73" s="200">
        <v>17.334</v>
      </c>
      <c r="AA73" s="242" t="e">
        <f>INDEX('[3]TONG HOP'!#REF!,MATCH(D73,'[3]TONG HOP'!$L$31:$L$400,0),335)+INDEX('[3]TONG HOP'!#REF!,MATCH(D73,'[3]TONG HOP'!$L$31:$L$400,0),336)</f>
        <v>#REF!</v>
      </c>
      <c r="AB73" s="242" t="e">
        <f>INDEX('[3]TONG HOP'!#REF!,MATCH(D73,'[3]TONG HOP'!$L$31:$L$400,0),367)</f>
        <v>#REF!</v>
      </c>
      <c r="AC73" s="246" t="e">
        <f>INDEX('[3]TONG HOP'!#REF!,MATCH(D73,'[3]TONG HOP'!$L$31:$L$400,0),364)</f>
        <v>#REF!</v>
      </c>
      <c r="AD73" s="242" t="e">
        <f>INDEX('[3]TONG HOP'!#REF!,MATCH(D73,'[3]TONG HOP'!$L$31:$L$400,0),4)</f>
        <v>#REF!</v>
      </c>
      <c r="AE73" s="245">
        <f>INDEX('[4]BIeu 03KBQT'!$A$11:$X$178,MATCH(D73,'[4]BIeu 03KBQT'!$D$11:$D$178,0),6)/1000000</f>
        <v>2534.008</v>
      </c>
      <c r="AF73" s="244">
        <f t="shared" si="2"/>
        <v>0</v>
      </c>
      <c r="AG73" s="203">
        <f>INDEX('[4]BIeu 03KBQT'!$A$11:$X$178,MATCH(D73,'[4]BIeu 03KBQT'!$D$11:$D$178,0),24)/1000000</f>
        <v>2551.342</v>
      </c>
      <c r="AH73" s="204">
        <f t="shared" si="1"/>
        <v>0</v>
      </c>
    </row>
    <row r="74" spans="1:34" s="200" customFormat="1" ht="33.75" customHeight="1">
      <c r="A74" s="329">
        <v>37</v>
      </c>
      <c r="B74" s="240" t="s">
        <v>349</v>
      </c>
      <c r="C74" s="329" t="s">
        <v>305</v>
      </c>
      <c r="D74" s="241">
        <v>7380622</v>
      </c>
      <c r="E74" s="231">
        <v>9707.716</v>
      </c>
      <c r="F74" s="232">
        <v>8269.248</v>
      </c>
      <c r="G74" s="231">
        <v>6.985</v>
      </c>
      <c r="H74" s="233">
        <v>0</v>
      </c>
      <c r="I74" s="231">
        <v>6.985</v>
      </c>
      <c r="J74" s="231"/>
      <c r="K74" s="231"/>
      <c r="L74" s="328"/>
      <c r="M74" s="328"/>
      <c r="N74" s="328"/>
      <c r="O74" s="231">
        <v>0</v>
      </c>
      <c r="P74" s="249">
        <v>36.676</v>
      </c>
      <c r="Q74" s="231">
        <v>36.676</v>
      </c>
      <c r="R74" s="231">
        <v>36.676</v>
      </c>
      <c r="S74" s="231"/>
      <c r="T74" s="328"/>
      <c r="U74" s="231">
        <v>0</v>
      </c>
      <c r="V74" s="234">
        <v>43.661</v>
      </c>
      <c r="W74" s="231">
        <v>0</v>
      </c>
      <c r="X74" s="233">
        <v>8305.923999999999</v>
      </c>
      <c r="Y74" s="200">
        <v>0</v>
      </c>
      <c r="Z74" s="200">
        <v>36.676</v>
      </c>
      <c r="AA74" s="242" t="e">
        <f>INDEX('[3]TONG HOP'!#REF!,MATCH(D74,'[3]TONG HOP'!$L$31:$L$400,0),335)+INDEX('[3]TONG HOP'!#REF!,MATCH(D74,'[3]TONG HOP'!$L$31:$L$400,0),336)</f>
        <v>#REF!</v>
      </c>
      <c r="AB74" s="242" t="e">
        <f>INDEX('[3]TONG HOP'!#REF!,MATCH(D74,'[3]TONG HOP'!$L$31:$L$400,0),367)</f>
        <v>#REF!</v>
      </c>
      <c r="AC74" s="246" t="e">
        <f>INDEX('[3]TONG HOP'!#REF!,MATCH(D74,'[3]TONG HOP'!$L$31:$L$400,0),364)</f>
        <v>#REF!</v>
      </c>
      <c r="AD74" s="242" t="e">
        <f>INDEX('[3]TONG HOP'!#REF!,MATCH(D74,'[3]TONG HOP'!$L$31:$L$400,0),4)</f>
        <v>#REF!</v>
      </c>
      <c r="AE74" s="245">
        <f>INDEX('[4]BIeu 03KBQT'!$A$11:$X$178,MATCH(D74,'[4]BIeu 03KBQT'!$D$11:$D$178,0),6)/1000000</f>
        <v>8269.248</v>
      </c>
      <c r="AF74" s="244">
        <f t="shared" si="2"/>
        <v>0</v>
      </c>
      <c r="AG74" s="203">
        <f>INDEX('[4]BIeu 03KBQT'!$A$11:$X$178,MATCH(D74,'[4]BIeu 03KBQT'!$D$11:$D$178,0),24)/1000000</f>
        <v>8305.924</v>
      </c>
      <c r="AH74" s="204">
        <f t="shared" si="1"/>
        <v>0</v>
      </c>
    </row>
    <row r="75" spans="1:34" s="200" customFormat="1" ht="24" customHeight="1">
      <c r="A75" s="329">
        <v>38</v>
      </c>
      <c r="B75" s="240" t="s">
        <v>350</v>
      </c>
      <c r="C75" s="329" t="s">
        <v>305</v>
      </c>
      <c r="D75" s="241">
        <v>7389631</v>
      </c>
      <c r="E75" s="231">
        <v>9433.457</v>
      </c>
      <c r="F75" s="232">
        <v>5542.901</v>
      </c>
      <c r="G75" s="231">
        <v>19.628</v>
      </c>
      <c r="H75" s="233">
        <v>0</v>
      </c>
      <c r="I75" s="231">
        <v>19.628</v>
      </c>
      <c r="J75" s="231"/>
      <c r="K75" s="231"/>
      <c r="L75" s="328"/>
      <c r="M75" s="328"/>
      <c r="N75" s="328"/>
      <c r="O75" s="231">
        <v>0</v>
      </c>
      <c r="P75" s="231">
        <v>35.375</v>
      </c>
      <c r="Q75" s="231">
        <v>35.375</v>
      </c>
      <c r="R75" s="231">
        <v>35.375</v>
      </c>
      <c r="S75" s="328"/>
      <c r="T75" s="328"/>
      <c r="U75" s="231">
        <v>0</v>
      </c>
      <c r="V75" s="234">
        <v>55.003</v>
      </c>
      <c r="W75" s="231">
        <v>0</v>
      </c>
      <c r="X75" s="233">
        <v>5578.276</v>
      </c>
      <c r="Y75" s="200">
        <v>0</v>
      </c>
      <c r="Z75" s="200">
        <v>35.375</v>
      </c>
      <c r="AA75" s="242" t="e">
        <f>INDEX('[3]TONG HOP'!#REF!,MATCH(D75,'[3]TONG HOP'!$L$31:$L$400,0),335)+INDEX('[3]TONG HOP'!#REF!,MATCH(D75,'[3]TONG HOP'!$L$31:$L$400,0),336)</f>
        <v>#REF!</v>
      </c>
      <c r="AB75" s="242" t="e">
        <f>INDEX('[3]TONG HOP'!#REF!,MATCH(D75,'[3]TONG HOP'!$L$31:$L$400,0),367)</f>
        <v>#REF!</v>
      </c>
      <c r="AC75" s="246" t="e">
        <f>INDEX('[3]TONG HOP'!#REF!,MATCH(D75,'[3]TONG HOP'!$L$31:$L$400,0),364)</f>
        <v>#REF!</v>
      </c>
      <c r="AD75" s="242" t="e">
        <f>INDEX('[3]TONG HOP'!#REF!,MATCH(D75,'[3]TONG HOP'!$L$31:$L$400,0),4)</f>
        <v>#REF!</v>
      </c>
      <c r="AE75" s="245">
        <f>INDEX('[4]BIeu 03KBQT'!$A$11:$X$178,MATCH(D75,'[4]BIeu 03KBQT'!$D$11:$D$178,0),6)/1000000</f>
        <v>5542.901</v>
      </c>
      <c r="AF75" s="244">
        <f t="shared" si="2"/>
        <v>0</v>
      </c>
      <c r="AG75" s="203">
        <f>INDEX('[4]BIeu 03KBQT'!$A$11:$X$178,MATCH(D75,'[4]BIeu 03KBQT'!$D$11:$D$178,0),24)/1000000</f>
        <v>5578.276</v>
      </c>
      <c r="AH75" s="204">
        <f t="shared" si="1"/>
        <v>0</v>
      </c>
    </row>
    <row r="76" spans="1:34" s="236" customFormat="1" ht="24" customHeight="1">
      <c r="A76" s="329"/>
      <c r="B76" s="239" t="s">
        <v>309</v>
      </c>
      <c r="C76" s="330"/>
      <c r="D76" s="329"/>
      <c r="E76" s="328">
        <v>25905.953999999998</v>
      </c>
      <c r="F76" s="205">
        <v>12708.856</v>
      </c>
      <c r="G76" s="328">
        <v>933.069</v>
      </c>
      <c r="H76" s="333">
        <v>0</v>
      </c>
      <c r="I76" s="328">
        <v>933.069</v>
      </c>
      <c r="J76" s="328">
        <v>2399</v>
      </c>
      <c r="K76" s="328">
        <v>2398.1</v>
      </c>
      <c r="L76" s="328">
        <v>2398.1</v>
      </c>
      <c r="M76" s="328">
        <v>0</v>
      </c>
      <c r="N76" s="328">
        <v>0</v>
      </c>
      <c r="O76" s="328">
        <v>0.9000000000000199</v>
      </c>
      <c r="P76" s="328">
        <v>3897.316</v>
      </c>
      <c r="Q76" s="328">
        <v>3895.659</v>
      </c>
      <c r="R76" s="328">
        <v>3895.659</v>
      </c>
      <c r="S76" s="328">
        <v>0</v>
      </c>
      <c r="T76" s="328">
        <v>0</v>
      </c>
      <c r="U76" s="328">
        <v>1.6569999999998117</v>
      </c>
      <c r="V76" s="332">
        <v>7226.8279999999995</v>
      </c>
      <c r="W76" s="328">
        <v>0</v>
      </c>
      <c r="X76" s="333">
        <v>19002.614999999998</v>
      </c>
      <c r="AA76" s="201"/>
      <c r="AB76" s="201"/>
      <c r="AC76" s="237"/>
      <c r="AD76" s="214"/>
      <c r="AG76" s="213"/>
      <c r="AH76" s="204">
        <f t="shared" si="1"/>
        <v>-19002.614999999998</v>
      </c>
    </row>
    <row r="77" spans="1:34" s="200" customFormat="1" ht="24" customHeight="1">
      <c r="A77" s="329">
        <v>39</v>
      </c>
      <c r="B77" s="240" t="s">
        <v>351</v>
      </c>
      <c r="C77" s="329" t="s">
        <v>305</v>
      </c>
      <c r="D77" s="241">
        <v>7434554</v>
      </c>
      <c r="E77" s="231">
        <v>2595.21</v>
      </c>
      <c r="F77" s="232"/>
      <c r="G77" s="231"/>
      <c r="H77" s="233">
        <v>0</v>
      </c>
      <c r="I77" s="231">
        <v>0</v>
      </c>
      <c r="J77" s="231"/>
      <c r="K77" s="231"/>
      <c r="L77" s="328"/>
      <c r="M77" s="328"/>
      <c r="N77" s="328"/>
      <c r="O77" s="231">
        <v>0</v>
      </c>
      <c r="P77" s="231">
        <v>14.81</v>
      </c>
      <c r="Q77" s="231">
        <v>14.81</v>
      </c>
      <c r="R77" s="231">
        <v>14.81</v>
      </c>
      <c r="S77" s="328"/>
      <c r="T77" s="328"/>
      <c r="U77" s="231">
        <v>0</v>
      </c>
      <c r="V77" s="234">
        <v>14.81</v>
      </c>
      <c r="W77" s="231">
        <v>0</v>
      </c>
      <c r="X77" s="233">
        <v>14.81</v>
      </c>
      <c r="Y77" s="200">
        <v>0</v>
      </c>
      <c r="Z77" s="200">
        <v>14.81</v>
      </c>
      <c r="AA77" s="242" t="e">
        <f>INDEX('[3]TONG HOP'!#REF!,MATCH(D77,'[3]TONG HOP'!$L$31:$L$400,0),335)+INDEX('[3]TONG HOP'!#REF!,MATCH(D77,'[3]TONG HOP'!$L$31:$L$400,0),336)</f>
        <v>#REF!</v>
      </c>
      <c r="AB77" s="242" t="e">
        <f>INDEX('[3]TONG HOP'!#REF!,MATCH(D77,'[3]TONG HOP'!$L$31:$L$400,0),367)</f>
        <v>#REF!</v>
      </c>
      <c r="AC77" s="246">
        <v>14.81</v>
      </c>
      <c r="AD77" s="242" t="e">
        <f>INDEX('[3]TONG HOP'!#REF!,MATCH(D77,'[3]TONG HOP'!$L$31:$L$400,0),4)</f>
        <v>#REF!</v>
      </c>
      <c r="AE77" s="245">
        <f>INDEX('[4]BIeu 03KBQT'!$A$11:$X$178,MATCH(D77,'[4]BIeu 03KBQT'!$D$11:$D$178,0),6)/1000000</f>
        <v>2273.545</v>
      </c>
      <c r="AF77" s="244"/>
      <c r="AG77" s="203"/>
      <c r="AH77" s="204">
        <f t="shared" si="1"/>
        <v>-14.81</v>
      </c>
    </row>
    <row r="78" spans="1:34" s="200" customFormat="1" ht="24" customHeight="1">
      <c r="A78" s="329">
        <v>40</v>
      </c>
      <c r="B78" s="240" t="s">
        <v>352</v>
      </c>
      <c r="C78" s="329" t="s">
        <v>305</v>
      </c>
      <c r="D78" s="241">
        <v>7443439</v>
      </c>
      <c r="E78" s="231">
        <v>662.07</v>
      </c>
      <c r="F78" s="232">
        <v>431.748</v>
      </c>
      <c r="G78" s="231">
        <v>2.371</v>
      </c>
      <c r="H78" s="233">
        <v>0</v>
      </c>
      <c r="I78" s="231">
        <v>2.371</v>
      </c>
      <c r="J78" s="231"/>
      <c r="K78" s="231"/>
      <c r="L78" s="328"/>
      <c r="M78" s="328"/>
      <c r="N78" s="328"/>
      <c r="O78" s="231">
        <v>0</v>
      </c>
      <c r="P78" s="231">
        <v>3.159</v>
      </c>
      <c r="Q78" s="231">
        <v>3.159</v>
      </c>
      <c r="R78" s="231">
        <v>3.159</v>
      </c>
      <c r="S78" s="328"/>
      <c r="T78" s="328"/>
      <c r="U78" s="231">
        <v>0</v>
      </c>
      <c r="V78" s="234">
        <v>5.529999999999999</v>
      </c>
      <c r="W78" s="231">
        <v>0</v>
      </c>
      <c r="X78" s="233">
        <v>434.907</v>
      </c>
      <c r="Y78" s="200">
        <v>0</v>
      </c>
      <c r="Z78" s="200">
        <v>3.159</v>
      </c>
      <c r="AA78" s="242" t="e">
        <f>INDEX('[3]TONG HOP'!#REF!,MATCH(D78,'[3]TONG HOP'!$L$31:$L$400,0),335)+INDEX('[3]TONG HOP'!#REF!,MATCH(D78,'[3]TONG HOP'!$L$31:$L$400,0),336)</f>
        <v>#REF!</v>
      </c>
      <c r="AB78" s="242" t="e">
        <f>INDEX('[3]TONG HOP'!#REF!,MATCH(D78,'[3]TONG HOP'!$L$31:$L$400,0),367)</f>
        <v>#REF!</v>
      </c>
      <c r="AC78" s="246" t="e">
        <f>INDEX('[3]TONG HOP'!#REF!,MATCH(D78,'[3]TONG HOP'!$L$31:$L$400,0),364)</f>
        <v>#REF!</v>
      </c>
      <c r="AD78" s="242" t="e">
        <f>INDEX('[3]TONG HOP'!#REF!,MATCH(D78,'[3]TONG HOP'!$L$31:$L$400,0),4)</f>
        <v>#REF!</v>
      </c>
      <c r="AE78" s="245">
        <f>INDEX('[4]BIeu 03KBQT'!$A$11:$X$178,MATCH(D78,'[4]BIeu 03KBQT'!$D$11:$D$178,0),6)/1000000</f>
        <v>431.748</v>
      </c>
      <c r="AF78" s="244">
        <f t="shared" si="2"/>
        <v>0</v>
      </c>
      <c r="AG78" s="203">
        <f>INDEX('[4]BIeu 03KBQT'!$A$11:$X$178,MATCH(D78,'[4]BIeu 03KBQT'!$D$11:$D$178,0),24)/1000000</f>
        <v>434.907</v>
      </c>
      <c r="AH78" s="204">
        <f t="shared" si="1"/>
        <v>0</v>
      </c>
    </row>
    <row r="79" spans="1:34" s="200" customFormat="1" ht="24" customHeight="1">
      <c r="A79" s="329">
        <v>41</v>
      </c>
      <c r="B79" s="240" t="s">
        <v>353</v>
      </c>
      <c r="C79" s="329" t="s">
        <v>305</v>
      </c>
      <c r="D79" s="241">
        <v>7443444</v>
      </c>
      <c r="E79" s="231">
        <v>1352.173</v>
      </c>
      <c r="F79" s="232">
        <v>912.141</v>
      </c>
      <c r="G79" s="231">
        <v>4.842</v>
      </c>
      <c r="H79" s="233">
        <v>0</v>
      </c>
      <c r="I79" s="231">
        <v>4.842</v>
      </c>
      <c r="J79" s="231"/>
      <c r="K79" s="231"/>
      <c r="L79" s="328"/>
      <c r="M79" s="328"/>
      <c r="N79" s="328"/>
      <c r="O79" s="231">
        <v>0</v>
      </c>
      <c r="P79" s="231">
        <v>7.267</v>
      </c>
      <c r="Q79" s="231">
        <v>7.267</v>
      </c>
      <c r="R79" s="231">
        <v>7.267</v>
      </c>
      <c r="S79" s="328"/>
      <c r="T79" s="328"/>
      <c r="U79" s="231">
        <v>0</v>
      </c>
      <c r="V79" s="234">
        <v>12.109</v>
      </c>
      <c r="W79" s="231">
        <v>0</v>
      </c>
      <c r="X79" s="233">
        <v>919.408</v>
      </c>
      <c r="Y79" s="200">
        <v>0</v>
      </c>
      <c r="Z79" s="200">
        <v>7.267</v>
      </c>
      <c r="AA79" s="242" t="e">
        <f>INDEX('[3]TONG HOP'!#REF!,MATCH(D79,'[3]TONG HOP'!$L$31:$L$400,0),335)+INDEX('[3]TONG HOP'!#REF!,MATCH(D79,'[3]TONG HOP'!$L$31:$L$400,0),336)</f>
        <v>#REF!</v>
      </c>
      <c r="AB79" s="242" t="e">
        <f>INDEX('[3]TONG HOP'!#REF!,MATCH(D79,'[3]TONG HOP'!$L$31:$L$400,0),367)</f>
        <v>#REF!</v>
      </c>
      <c r="AC79" s="246" t="e">
        <f>INDEX('[3]TONG HOP'!#REF!,MATCH(D79,'[3]TONG HOP'!$L$31:$L$400,0),364)</f>
        <v>#REF!</v>
      </c>
      <c r="AD79" s="242" t="e">
        <f>INDEX('[3]TONG HOP'!#REF!,MATCH(D79,'[3]TONG HOP'!$L$31:$L$400,0),4)</f>
        <v>#REF!</v>
      </c>
      <c r="AE79" s="245">
        <f>INDEX('[4]BIeu 03KBQT'!$A$11:$X$178,MATCH(D79,'[4]BIeu 03KBQT'!$D$11:$D$178,0),6)/1000000</f>
        <v>912.141</v>
      </c>
      <c r="AF79" s="244">
        <f t="shared" si="2"/>
        <v>0</v>
      </c>
      <c r="AG79" s="203">
        <f>INDEX('[4]BIeu 03KBQT'!$A$11:$X$178,MATCH(D79,'[4]BIeu 03KBQT'!$D$11:$D$178,0),24)/1000000</f>
        <v>919.408</v>
      </c>
      <c r="AH79" s="204">
        <f t="shared" si="1"/>
        <v>0</v>
      </c>
    </row>
    <row r="80" spans="1:34" s="200" customFormat="1" ht="24" customHeight="1">
      <c r="A80" s="329">
        <v>42</v>
      </c>
      <c r="B80" s="240" t="s">
        <v>354</v>
      </c>
      <c r="C80" s="329" t="s">
        <v>305</v>
      </c>
      <c r="D80" s="241">
        <v>7443450</v>
      </c>
      <c r="E80" s="231">
        <v>1763.455</v>
      </c>
      <c r="F80" s="232">
        <v>1156.974</v>
      </c>
      <c r="G80" s="231">
        <v>6.315</v>
      </c>
      <c r="H80" s="233">
        <v>0</v>
      </c>
      <c r="I80" s="231">
        <v>6.315</v>
      </c>
      <c r="J80" s="231"/>
      <c r="K80" s="231"/>
      <c r="L80" s="328"/>
      <c r="M80" s="328"/>
      <c r="N80" s="328"/>
      <c r="O80" s="231">
        <v>0</v>
      </c>
      <c r="P80" s="231">
        <v>9.478</v>
      </c>
      <c r="Q80" s="231">
        <v>9.478</v>
      </c>
      <c r="R80" s="231">
        <v>9.478</v>
      </c>
      <c r="S80" s="328"/>
      <c r="T80" s="328"/>
      <c r="U80" s="231">
        <v>0</v>
      </c>
      <c r="V80" s="234">
        <v>15.793</v>
      </c>
      <c r="W80" s="231">
        <v>0</v>
      </c>
      <c r="X80" s="233">
        <v>1166.452</v>
      </c>
      <c r="Y80" s="200">
        <v>0</v>
      </c>
      <c r="Z80" s="200">
        <v>9.478</v>
      </c>
      <c r="AA80" s="242" t="e">
        <f>INDEX('[3]TONG HOP'!#REF!,MATCH(D80,'[3]TONG HOP'!$L$31:$L$400,0),335)+INDEX('[3]TONG HOP'!#REF!,MATCH(D80,'[3]TONG HOP'!$L$31:$L$400,0),336)</f>
        <v>#REF!</v>
      </c>
      <c r="AB80" s="242" t="e">
        <f>INDEX('[3]TONG HOP'!#REF!,MATCH(D80,'[3]TONG HOP'!$L$31:$L$400,0),367)</f>
        <v>#REF!</v>
      </c>
      <c r="AC80" s="246" t="e">
        <f>INDEX('[3]TONG HOP'!#REF!,MATCH(D80,'[3]TONG HOP'!$L$31:$L$400,0),364)</f>
        <v>#REF!</v>
      </c>
      <c r="AD80" s="242" t="e">
        <f>INDEX('[3]TONG HOP'!#REF!,MATCH(D80,'[3]TONG HOP'!$L$31:$L$400,0),4)</f>
        <v>#REF!</v>
      </c>
      <c r="AE80" s="245">
        <f>INDEX('[4]BIeu 03KBQT'!$A$11:$X$178,MATCH(D80,'[4]BIeu 03KBQT'!$D$11:$D$178,0),6)/1000000</f>
        <v>1156.974</v>
      </c>
      <c r="AF80" s="244">
        <f t="shared" si="2"/>
        <v>0</v>
      </c>
      <c r="AG80" s="203">
        <f>INDEX('[4]BIeu 03KBQT'!$A$11:$X$178,MATCH(D80,'[4]BIeu 03KBQT'!$D$11:$D$178,0),24)/1000000</f>
        <v>1166.452</v>
      </c>
      <c r="AH80" s="204">
        <f t="shared" si="1"/>
        <v>0</v>
      </c>
    </row>
    <row r="81" spans="1:34" s="200" customFormat="1" ht="24" customHeight="1">
      <c r="A81" s="329">
        <v>43</v>
      </c>
      <c r="B81" s="240" t="s">
        <v>355</v>
      </c>
      <c r="C81" s="329" t="s">
        <v>305</v>
      </c>
      <c r="D81" s="241">
        <v>7443453</v>
      </c>
      <c r="E81" s="231">
        <v>470.678</v>
      </c>
      <c r="F81" s="232">
        <v>332.912</v>
      </c>
      <c r="G81" s="231">
        <v>1.576</v>
      </c>
      <c r="H81" s="233">
        <v>0</v>
      </c>
      <c r="I81" s="231">
        <v>1.576</v>
      </c>
      <c r="J81" s="231"/>
      <c r="K81" s="231"/>
      <c r="L81" s="328"/>
      <c r="M81" s="328"/>
      <c r="N81" s="328"/>
      <c r="O81" s="231">
        <v>0</v>
      </c>
      <c r="P81" s="231">
        <v>2.449</v>
      </c>
      <c r="Q81" s="231">
        <v>2.449</v>
      </c>
      <c r="R81" s="231">
        <v>2.449</v>
      </c>
      <c r="S81" s="328"/>
      <c r="T81" s="328"/>
      <c r="U81" s="231">
        <v>0</v>
      </c>
      <c r="V81" s="234">
        <v>4.025</v>
      </c>
      <c r="W81" s="231">
        <v>0</v>
      </c>
      <c r="X81" s="233">
        <v>335.361</v>
      </c>
      <c r="Y81" s="200">
        <v>0</v>
      </c>
      <c r="Z81" s="200">
        <v>2.449</v>
      </c>
      <c r="AA81" s="242" t="e">
        <f>INDEX('[3]TONG HOP'!#REF!,MATCH(D81,'[3]TONG HOP'!$L$31:$L$400,0),335)+INDEX('[3]TONG HOP'!#REF!,MATCH(D81,'[3]TONG HOP'!$L$31:$L$400,0),336)</f>
        <v>#REF!</v>
      </c>
      <c r="AB81" s="242" t="e">
        <f>INDEX('[3]TONG HOP'!#REF!,MATCH(D81,'[3]TONG HOP'!$L$31:$L$400,0),367)</f>
        <v>#REF!</v>
      </c>
      <c r="AC81" s="246" t="e">
        <f>INDEX('[3]TONG HOP'!#REF!,MATCH(D81,'[3]TONG HOP'!$L$31:$L$400,0),364)</f>
        <v>#REF!</v>
      </c>
      <c r="AD81" s="242" t="e">
        <f>INDEX('[3]TONG HOP'!#REF!,MATCH(D81,'[3]TONG HOP'!$L$31:$L$400,0),4)</f>
        <v>#REF!</v>
      </c>
      <c r="AE81" s="245">
        <f>INDEX('[4]BIeu 03KBQT'!$A$11:$X$178,MATCH(D81,'[4]BIeu 03KBQT'!$D$11:$D$178,0),6)/1000000</f>
        <v>332.912</v>
      </c>
      <c r="AF81" s="244">
        <f t="shared" si="2"/>
        <v>0</v>
      </c>
      <c r="AG81" s="203">
        <f>INDEX('[4]BIeu 03KBQT'!$A$11:$X$178,MATCH(D81,'[4]BIeu 03KBQT'!$D$11:$D$178,0),24)/1000000</f>
        <v>335.361</v>
      </c>
      <c r="AH81" s="204">
        <f t="shared" si="1"/>
        <v>0</v>
      </c>
    </row>
    <row r="82" spans="1:34" s="200" customFormat="1" ht="54">
      <c r="A82" s="329">
        <v>44</v>
      </c>
      <c r="B82" s="240" t="s">
        <v>356</v>
      </c>
      <c r="C82" s="329" t="s">
        <v>305</v>
      </c>
      <c r="D82" s="241">
        <v>7513256</v>
      </c>
      <c r="E82" s="231">
        <v>1883</v>
      </c>
      <c r="F82" s="232">
        <v>1576.557</v>
      </c>
      <c r="G82" s="231">
        <v>6.357</v>
      </c>
      <c r="H82" s="233">
        <v>0</v>
      </c>
      <c r="I82" s="231">
        <v>6.357</v>
      </c>
      <c r="J82" s="231"/>
      <c r="K82" s="231"/>
      <c r="L82" s="328"/>
      <c r="M82" s="328"/>
      <c r="N82" s="328"/>
      <c r="O82" s="231">
        <v>0</v>
      </c>
      <c r="P82" s="231">
        <v>9.253</v>
      </c>
      <c r="Q82" s="231">
        <v>9.253</v>
      </c>
      <c r="R82" s="231">
        <v>9.253</v>
      </c>
      <c r="S82" s="328"/>
      <c r="T82" s="328"/>
      <c r="U82" s="231">
        <v>0</v>
      </c>
      <c r="V82" s="234">
        <v>15.61</v>
      </c>
      <c r="W82" s="231">
        <v>0</v>
      </c>
      <c r="X82" s="233">
        <v>1585.81</v>
      </c>
      <c r="Y82" s="200">
        <v>0</v>
      </c>
      <c r="Z82" s="200">
        <v>9.253</v>
      </c>
      <c r="AA82" s="242" t="e">
        <f>INDEX('[3]TONG HOP'!#REF!,MATCH(D82,'[3]TONG HOP'!$L$31:$L$400,0),335)+INDEX('[3]TONG HOP'!#REF!,MATCH(D82,'[3]TONG HOP'!$L$31:$L$400,0),336)</f>
        <v>#REF!</v>
      </c>
      <c r="AB82" s="242" t="e">
        <f>INDEX('[3]TONG HOP'!#REF!,MATCH(D82,'[3]TONG HOP'!$L$31:$L$400,0),367)</f>
        <v>#REF!</v>
      </c>
      <c r="AC82" s="246" t="e">
        <f>INDEX('[3]TONG HOP'!#REF!,MATCH(D82,'[3]TONG HOP'!$L$31:$L$400,0),364)</f>
        <v>#REF!</v>
      </c>
      <c r="AD82" s="242" t="e">
        <f>INDEX('[3]TONG HOP'!#REF!,MATCH(D82,'[3]TONG HOP'!$L$31:$L$400,0),4)</f>
        <v>#REF!</v>
      </c>
      <c r="AE82" s="245">
        <f>INDEX('[4]BIeu 03KBQT'!$A$11:$X$178,MATCH(D82,'[4]BIeu 03KBQT'!$D$11:$D$178,0),6)/1000000</f>
        <v>1576.557</v>
      </c>
      <c r="AF82" s="244">
        <f t="shared" si="2"/>
        <v>0</v>
      </c>
      <c r="AG82" s="203">
        <f>INDEX('[4]BIeu 03KBQT'!$A$11:$X$178,MATCH(D82,'[4]BIeu 03KBQT'!$D$11:$D$178,0),24)/1000000</f>
        <v>1585.81</v>
      </c>
      <c r="AH82" s="204">
        <f t="shared" si="1"/>
        <v>0</v>
      </c>
    </row>
    <row r="83" spans="1:34" s="200" customFormat="1" ht="30" customHeight="1">
      <c r="A83" s="329">
        <v>45</v>
      </c>
      <c r="B83" s="240" t="s">
        <v>357</v>
      </c>
      <c r="C83" s="329" t="s">
        <v>305</v>
      </c>
      <c r="D83" s="241">
        <v>7553437</v>
      </c>
      <c r="E83" s="231">
        <v>2715</v>
      </c>
      <c r="F83" s="232">
        <v>758.735</v>
      </c>
      <c r="G83" s="231">
        <v>670</v>
      </c>
      <c r="H83" s="233">
        <v>0</v>
      </c>
      <c r="I83" s="231">
        <v>670</v>
      </c>
      <c r="J83" s="231">
        <v>1490</v>
      </c>
      <c r="K83" s="231">
        <v>1490</v>
      </c>
      <c r="L83" s="231">
        <v>1490</v>
      </c>
      <c r="M83" s="231"/>
      <c r="N83" s="231"/>
      <c r="O83" s="231">
        <v>0</v>
      </c>
      <c r="P83" s="231">
        <v>70</v>
      </c>
      <c r="Q83" s="231">
        <v>70</v>
      </c>
      <c r="R83" s="231">
        <v>70</v>
      </c>
      <c r="S83" s="231"/>
      <c r="T83" s="328"/>
      <c r="U83" s="231">
        <v>0</v>
      </c>
      <c r="V83" s="234">
        <v>2230</v>
      </c>
      <c r="W83" s="231">
        <v>0</v>
      </c>
      <c r="X83" s="233">
        <v>2318.735</v>
      </c>
      <c r="Y83" s="200">
        <v>0</v>
      </c>
      <c r="Z83" s="200">
        <v>1560</v>
      </c>
      <c r="AA83" s="242" t="e">
        <f>INDEX('[3]TONG HOP'!#REF!,MATCH(D83,'[3]TONG HOP'!$L$31:$L$400,0),335)+INDEX('[3]TONG HOP'!#REF!,MATCH(D83,'[3]TONG HOP'!$L$31:$L$400,0),336)</f>
        <v>#REF!</v>
      </c>
      <c r="AB83" s="242" t="e">
        <f>INDEX('[3]TONG HOP'!#REF!,MATCH(D83,'[3]TONG HOP'!$L$31:$L$400,0),367)</f>
        <v>#REF!</v>
      </c>
      <c r="AC83" s="246" t="e">
        <f>INDEX('[3]TONG HOP'!#REF!,MATCH(D83,'[3]TONG HOP'!$L$31:$L$400,0),364)</f>
        <v>#REF!</v>
      </c>
      <c r="AD83" s="242" t="e">
        <f>INDEX('[3]TONG HOP'!#REF!,MATCH(D83,'[3]TONG HOP'!$L$31:$L$400,0),4)</f>
        <v>#REF!</v>
      </c>
      <c r="AE83" s="245">
        <f>INDEX('[4]BIeu 03KBQT'!$A$11:$X$178,MATCH(D83,'[4]BIeu 03KBQT'!$D$11:$D$178,0),6)/1000000</f>
        <v>758.735</v>
      </c>
      <c r="AF83" s="244">
        <f t="shared" si="2"/>
        <v>0</v>
      </c>
      <c r="AG83" s="203">
        <f>INDEX('[4]BIeu 03KBQT'!$A$11:$X$178,MATCH(D83,'[4]BIeu 03KBQT'!$D$11:$D$178,0),24)/1000000</f>
        <v>2318.735</v>
      </c>
      <c r="AH83" s="204">
        <f t="shared" si="1"/>
        <v>0</v>
      </c>
    </row>
    <row r="84" spans="1:34" s="200" customFormat="1" ht="20.25" customHeight="1">
      <c r="A84" s="329">
        <v>46</v>
      </c>
      <c r="B84" s="240" t="s">
        <v>358</v>
      </c>
      <c r="C84" s="329" t="s">
        <v>305</v>
      </c>
      <c r="D84" s="241">
        <v>7564177</v>
      </c>
      <c r="E84" s="231">
        <v>1360.248</v>
      </c>
      <c r="F84" s="232">
        <v>465</v>
      </c>
      <c r="G84" s="231">
        <v>19.291</v>
      </c>
      <c r="H84" s="233">
        <v>0</v>
      </c>
      <c r="I84" s="231">
        <v>19.291</v>
      </c>
      <c r="J84" s="231">
        <v>464</v>
      </c>
      <c r="K84" s="231">
        <v>463.239</v>
      </c>
      <c r="L84" s="231">
        <v>463.239</v>
      </c>
      <c r="M84" s="231"/>
      <c r="N84" s="231"/>
      <c r="O84" s="231">
        <v>0.7610000000000241</v>
      </c>
      <c r="P84" s="231"/>
      <c r="Q84" s="231"/>
      <c r="R84" s="231"/>
      <c r="S84" s="231"/>
      <c r="T84" s="328"/>
      <c r="U84" s="231">
        <v>0</v>
      </c>
      <c r="V84" s="234">
        <v>482.53</v>
      </c>
      <c r="W84" s="231">
        <v>0</v>
      </c>
      <c r="X84" s="233">
        <v>928.239</v>
      </c>
      <c r="Y84" s="200">
        <v>0</v>
      </c>
      <c r="Z84" s="200">
        <v>463.239</v>
      </c>
      <c r="AA84" s="242" t="e">
        <f>INDEX('[3]TONG HOP'!#REF!,MATCH(D84,'[3]TONG HOP'!$L$31:$L$400,0),335)+INDEX('[3]TONG HOP'!#REF!,MATCH(D84,'[3]TONG HOP'!$L$31:$L$400,0),336)</f>
        <v>#REF!</v>
      </c>
      <c r="AB84" s="242" t="e">
        <f>INDEX('[3]TONG HOP'!#REF!,MATCH(D84,'[3]TONG HOP'!$L$31:$L$400,0),367)</f>
        <v>#REF!</v>
      </c>
      <c r="AC84" s="246" t="e">
        <f>INDEX('[3]TONG HOP'!#REF!,MATCH(D84,'[3]TONG HOP'!$L$31:$L$400,0),364)</f>
        <v>#REF!</v>
      </c>
      <c r="AD84" s="242" t="e">
        <f>INDEX('[3]TONG HOP'!#REF!,MATCH(D84,'[3]TONG HOP'!$L$31:$L$400,0),4)</f>
        <v>#REF!</v>
      </c>
      <c r="AE84" s="245">
        <f>INDEX('[4]BIeu 03KBQT'!$A$11:$X$178,MATCH(D84,'[4]BIeu 03KBQT'!$D$11:$D$178,0),6)/1000000</f>
        <v>465</v>
      </c>
      <c r="AF84" s="244">
        <f t="shared" si="2"/>
        <v>0</v>
      </c>
      <c r="AG84" s="203">
        <f>INDEX('[4]BIeu 03KBQT'!$A$11:$X$178,MATCH(D84,'[4]BIeu 03KBQT'!$D$11:$D$178,0),24)/1000000</f>
        <v>928.239</v>
      </c>
      <c r="AH84" s="204">
        <f t="shared" si="1"/>
        <v>0</v>
      </c>
    </row>
    <row r="85" spans="1:34" s="200" customFormat="1" ht="36.75" customHeight="1">
      <c r="A85" s="329">
        <v>47</v>
      </c>
      <c r="B85" s="240" t="s">
        <v>359</v>
      </c>
      <c r="C85" s="329" t="s">
        <v>305</v>
      </c>
      <c r="D85" s="241">
        <v>7564180</v>
      </c>
      <c r="E85" s="231">
        <v>1196.338</v>
      </c>
      <c r="F85" s="232">
        <v>645</v>
      </c>
      <c r="G85" s="231">
        <v>0</v>
      </c>
      <c r="H85" s="233">
        <v>0</v>
      </c>
      <c r="I85" s="231">
        <v>0</v>
      </c>
      <c r="J85" s="231">
        <v>255</v>
      </c>
      <c r="K85" s="231">
        <v>255</v>
      </c>
      <c r="L85" s="231">
        <v>255</v>
      </c>
      <c r="M85" s="328"/>
      <c r="N85" s="328"/>
      <c r="O85" s="231">
        <v>0</v>
      </c>
      <c r="P85" s="231">
        <v>51</v>
      </c>
      <c r="Q85" s="231">
        <v>50.59699999999998</v>
      </c>
      <c r="R85" s="231">
        <v>50.59699999999998</v>
      </c>
      <c r="S85" s="328"/>
      <c r="T85" s="328"/>
      <c r="U85" s="231">
        <v>0.40300000000002</v>
      </c>
      <c r="V85" s="234">
        <v>305.597</v>
      </c>
      <c r="W85" s="231">
        <v>0</v>
      </c>
      <c r="X85" s="233">
        <v>950.597</v>
      </c>
      <c r="Y85" s="200">
        <v>0</v>
      </c>
      <c r="Z85" s="200">
        <v>305.597</v>
      </c>
      <c r="AA85" s="242" t="e">
        <f>INDEX('[3]TONG HOP'!#REF!,MATCH(D85,'[3]TONG HOP'!$L$31:$L$400,0),335)+INDEX('[3]TONG HOP'!#REF!,MATCH(D85,'[3]TONG HOP'!$L$31:$L$400,0),336)</f>
        <v>#REF!</v>
      </c>
      <c r="AB85" s="242" t="e">
        <f>INDEX('[3]TONG HOP'!#REF!,MATCH(D85,'[3]TONG HOP'!$L$31:$L$400,0),367)</f>
        <v>#REF!</v>
      </c>
      <c r="AC85" s="246" t="e">
        <f>INDEX('[3]TONG HOP'!#REF!,MATCH(D85,'[3]TONG HOP'!$L$31:$L$400,0),364)</f>
        <v>#REF!</v>
      </c>
      <c r="AD85" s="242" t="e">
        <f>INDEX('[3]TONG HOP'!#REF!,MATCH(D85,'[3]TONG HOP'!$L$31:$L$400,0),4)</f>
        <v>#REF!</v>
      </c>
      <c r="AE85" s="245">
        <f>INDEX('[4]BIeu 03KBQT'!$A$11:$X$178,MATCH(D85,'[4]BIeu 03KBQT'!$D$11:$D$178,0),6)/1000000</f>
        <v>645</v>
      </c>
      <c r="AF85" s="244">
        <f t="shared" si="2"/>
        <v>0</v>
      </c>
      <c r="AG85" s="203">
        <f>INDEX('[4]BIeu 03KBQT'!$A$11:$X$178,MATCH(D85,'[4]BIeu 03KBQT'!$D$11:$D$178,0),24)/1000000</f>
        <v>950.597</v>
      </c>
      <c r="AH85" s="204">
        <f t="shared" si="1"/>
        <v>0</v>
      </c>
    </row>
    <row r="86" spans="1:34" s="200" customFormat="1" ht="27">
      <c r="A86" s="329">
        <v>48</v>
      </c>
      <c r="B86" s="240" t="s">
        <v>360</v>
      </c>
      <c r="C86" s="329" t="s">
        <v>305</v>
      </c>
      <c r="D86" s="241">
        <v>7564190</v>
      </c>
      <c r="E86" s="231">
        <v>763.36</v>
      </c>
      <c r="F86" s="232">
        <v>549.752</v>
      </c>
      <c r="G86" s="231">
        <v>0</v>
      </c>
      <c r="H86" s="233">
        <v>0</v>
      </c>
      <c r="I86" s="231">
        <v>0</v>
      </c>
      <c r="J86" s="231">
        <v>70</v>
      </c>
      <c r="K86" s="231">
        <v>69.861</v>
      </c>
      <c r="L86" s="231">
        <v>69.861</v>
      </c>
      <c r="M86" s="328"/>
      <c r="N86" s="328"/>
      <c r="O86" s="231">
        <v>0.1389999999999958</v>
      </c>
      <c r="P86" s="231"/>
      <c r="Q86" s="231"/>
      <c r="R86" s="328"/>
      <c r="S86" s="328"/>
      <c r="T86" s="328"/>
      <c r="U86" s="231">
        <v>0</v>
      </c>
      <c r="V86" s="234">
        <v>69.861</v>
      </c>
      <c r="W86" s="231">
        <v>0</v>
      </c>
      <c r="X86" s="233">
        <v>619.6129999999999</v>
      </c>
      <c r="Y86" s="200">
        <v>0</v>
      </c>
      <c r="Z86" s="200">
        <v>69.861</v>
      </c>
      <c r="AA86" s="242" t="e">
        <f>INDEX('[3]TONG HOP'!#REF!,MATCH(D86,'[3]TONG HOP'!$L$31:$L$400,0),335)+INDEX('[3]TONG HOP'!#REF!,MATCH(D86,'[3]TONG HOP'!$L$31:$L$400,0),336)</f>
        <v>#REF!</v>
      </c>
      <c r="AB86" s="242" t="e">
        <f>INDEX('[3]TONG HOP'!#REF!,MATCH(D86,'[3]TONG HOP'!$L$31:$L$400,0),367)</f>
        <v>#REF!</v>
      </c>
      <c r="AC86" s="246" t="e">
        <f>INDEX('[3]TONG HOP'!#REF!,MATCH(D86,'[3]TONG HOP'!$L$31:$L$400,0),364)</f>
        <v>#REF!</v>
      </c>
      <c r="AD86" s="242" t="e">
        <f>INDEX('[3]TONG HOP'!#REF!,MATCH(D86,'[3]TONG HOP'!$L$31:$L$400,0),4)</f>
        <v>#REF!</v>
      </c>
      <c r="AE86" s="245">
        <f>INDEX('[4]BIeu 03KBQT'!$A$11:$X$178,MATCH(D86,'[4]BIeu 03KBQT'!$D$11:$D$178,0),6)/1000000</f>
        <v>549.752</v>
      </c>
      <c r="AF86" s="244">
        <f t="shared" si="2"/>
        <v>0</v>
      </c>
      <c r="AG86" s="203">
        <f>INDEX('[4]BIeu 03KBQT'!$A$11:$X$178,MATCH(D86,'[4]BIeu 03KBQT'!$D$11:$D$178,0),24)/1000000</f>
        <v>619.613</v>
      </c>
      <c r="AH86" s="204">
        <f t="shared" si="1"/>
        <v>0</v>
      </c>
    </row>
    <row r="87" spans="1:34" s="200" customFormat="1" ht="27">
      <c r="A87" s="329">
        <v>49</v>
      </c>
      <c r="B87" s="240" t="s">
        <v>361</v>
      </c>
      <c r="C87" s="329" t="s">
        <v>305</v>
      </c>
      <c r="D87" s="241">
        <v>7564433</v>
      </c>
      <c r="E87" s="231">
        <v>659.313</v>
      </c>
      <c r="F87" s="232">
        <v>300</v>
      </c>
      <c r="G87" s="231">
        <v>0</v>
      </c>
      <c r="H87" s="233">
        <v>0</v>
      </c>
      <c r="I87" s="231">
        <v>0</v>
      </c>
      <c r="J87" s="231">
        <v>120</v>
      </c>
      <c r="K87" s="231">
        <v>120</v>
      </c>
      <c r="L87" s="231">
        <v>120</v>
      </c>
      <c r="M87" s="328"/>
      <c r="N87" s="328"/>
      <c r="O87" s="231">
        <v>0</v>
      </c>
      <c r="P87" s="231">
        <v>90</v>
      </c>
      <c r="Q87" s="231">
        <v>89.21799999999999</v>
      </c>
      <c r="R87" s="231">
        <v>89.21799999999999</v>
      </c>
      <c r="S87" s="328"/>
      <c r="T87" s="328"/>
      <c r="U87" s="231">
        <v>0.7820000000000107</v>
      </c>
      <c r="V87" s="234">
        <v>209.218</v>
      </c>
      <c r="W87" s="231">
        <v>0</v>
      </c>
      <c r="X87" s="233">
        <v>509.21799999999996</v>
      </c>
      <c r="Y87" s="200">
        <v>0</v>
      </c>
      <c r="Z87" s="200">
        <v>209.218</v>
      </c>
      <c r="AA87" s="242" t="e">
        <f>INDEX('[3]TONG HOP'!#REF!,MATCH(D87,'[3]TONG HOP'!$L$31:$L$400,0),335)+INDEX('[3]TONG HOP'!#REF!,MATCH(D87,'[3]TONG HOP'!$L$31:$L$400,0),336)</f>
        <v>#REF!</v>
      </c>
      <c r="AB87" s="242" t="e">
        <f>INDEX('[3]TONG HOP'!#REF!,MATCH(D87,'[3]TONG HOP'!$L$31:$L$400,0),367)</f>
        <v>#REF!</v>
      </c>
      <c r="AC87" s="246" t="e">
        <f>INDEX('[3]TONG HOP'!#REF!,MATCH(D87,'[3]TONG HOP'!$L$31:$L$400,0),364)</f>
        <v>#REF!</v>
      </c>
      <c r="AD87" s="242" t="e">
        <f>INDEX('[3]TONG HOP'!#REF!,MATCH(D87,'[3]TONG HOP'!$L$31:$L$400,0),4)</f>
        <v>#REF!</v>
      </c>
      <c r="AE87" s="245">
        <f>INDEX('[4]BIeu 03KBQT'!$A$11:$X$178,MATCH(D87,'[4]BIeu 03KBQT'!$D$11:$D$178,0),6)/1000000</f>
        <v>300</v>
      </c>
      <c r="AF87" s="244">
        <f t="shared" si="2"/>
        <v>0</v>
      </c>
      <c r="AG87" s="203">
        <f>INDEX('[4]BIeu 03KBQT'!$A$11:$X$178,MATCH(D87,'[4]BIeu 03KBQT'!$D$11:$D$178,0),24)/1000000</f>
        <v>509.218</v>
      </c>
      <c r="AH87" s="204">
        <f t="shared" si="1"/>
        <v>0</v>
      </c>
    </row>
    <row r="88" spans="1:34" s="250" customFormat="1" ht="18.75" customHeight="1">
      <c r="A88" s="329">
        <v>50</v>
      </c>
      <c r="B88" s="240" t="s">
        <v>362</v>
      </c>
      <c r="C88" s="329" t="s">
        <v>305</v>
      </c>
      <c r="D88" s="241">
        <v>7564434</v>
      </c>
      <c r="E88" s="231">
        <v>2406.86</v>
      </c>
      <c r="F88" s="232">
        <v>1580.037</v>
      </c>
      <c r="G88" s="231">
        <v>33.079</v>
      </c>
      <c r="H88" s="233">
        <v>0</v>
      </c>
      <c r="I88" s="231">
        <v>33.079</v>
      </c>
      <c r="J88" s="231"/>
      <c r="K88" s="231"/>
      <c r="L88" s="328"/>
      <c r="M88" s="328"/>
      <c r="N88" s="328"/>
      <c r="O88" s="231">
        <v>0</v>
      </c>
      <c r="P88" s="249">
        <v>12.9</v>
      </c>
      <c r="Q88" s="231">
        <v>12.9</v>
      </c>
      <c r="R88" s="231">
        <v>12.9</v>
      </c>
      <c r="S88" s="328"/>
      <c r="T88" s="328"/>
      <c r="U88" s="231">
        <v>0</v>
      </c>
      <c r="V88" s="234">
        <v>45.979</v>
      </c>
      <c r="W88" s="231">
        <v>0</v>
      </c>
      <c r="X88" s="233">
        <v>1592.9370000000001</v>
      </c>
      <c r="Y88" s="250">
        <v>0</v>
      </c>
      <c r="Z88" s="250">
        <v>12.9</v>
      </c>
      <c r="AA88" s="242" t="e">
        <f>INDEX('[3]TONG HOP'!#REF!,MATCH(D88,'[3]TONG HOP'!$L$31:$L$400,0),335)+INDEX('[3]TONG HOP'!#REF!,MATCH(D88,'[3]TONG HOP'!$L$31:$L$400,0),336)</f>
        <v>#REF!</v>
      </c>
      <c r="AB88" s="242" t="e">
        <f>INDEX('[3]TONG HOP'!#REF!,MATCH(D88,'[3]TONG HOP'!$L$31:$L$400,0),367)</f>
        <v>#REF!</v>
      </c>
      <c r="AC88" s="246" t="e">
        <f>INDEX('[3]TONG HOP'!#REF!,MATCH(D88,'[3]TONG HOP'!$L$31:$L$400,0),364)</f>
        <v>#REF!</v>
      </c>
      <c r="AD88" s="242" t="e">
        <f>INDEX('[3]TONG HOP'!#REF!,MATCH(D88,'[3]TONG HOP'!$L$31:$L$400,0),4)</f>
        <v>#REF!</v>
      </c>
      <c r="AE88" s="245">
        <f>INDEX('[4]BIeu 03KBQT'!$A$11:$X$178,MATCH(D88,'[4]BIeu 03KBQT'!$D$11:$D$178,0),6)/1000000</f>
        <v>1580.037</v>
      </c>
      <c r="AF88" s="244">
        <f t="shared" si="2"/>
        <v>0</v>
      </c>
      <c r="AG88" s="203">
        <f>INDEX('[4]BIeu 03KBQT'!$A$11:$X$178,MATCH(D88,'[4]BIeu 03KBQT'!$D$11:$D$178,0),24)/1000000</f>
        <v>1592.937</v>
      </c>
      <c r="AH88" s="204">
        <f t="shared" si="1"/>
        <v>0</v>
      </c>
    </row>
    <row r="89" spans="1:34" s="200" customFormat="1" ht="27">
      <c r="A89" s="329">
        <v>51</v>
      </c>
      <c r="B89" s="240" t="s">
        <v>363</v>
      </c>
      <c r="C89" s="329" t="s">
        <v>305</v>
      </c>
      <c r="D89" s="241">
        <v>7566894</v>
      </c>
      <c r="E89" s="231">
        <v>205.4</v>
      </c>
      <c r="F89" s="232">
        <v>0</v>
      </c>
      <c r="G89" s="231">
        <v>0</v>
      </c>
      <c r="H89" s="233">
        <v>0</v>
      </c>
      <c r="I89" s="231">
        <v>0</v>
      </c>
      <c r="J89" s="231"/>
      <c r="K89" s="231"/>
      <c r="L89" s="328"/>
      <c r="M89" s="328"/>
      <c r="N89" s="328"/>
      <c r="O89" s="231">
        <v>0</v>
      </c>
      <c r="P89" s="231">
        <v>181</v>
      </c>
      <c r="Q89" s="231">
        <v>180.931</v>
      </c>
      <c r="R89" s="231">
        <v>180.931</v>
      </c>
      <c r="S89" s="328"/>
      <c r="T89" s="328"/>
      <c r="U89" s="231">
        <v>0.0689999999999884</v>
      </c>
      <c r="V89" s="234">
        <v>180.931</v>
      </c>
      <c r="W89" s="231">
        <v>0</v>
      </c>
      <c r="X89" s="233">
        <v>180.931</v>
      </c>
      <c r="Y89" s="200">
        <v>0</v>
      </c>
      <c r="Z89" s="200">
        <v>180.931</v>
      </c>
      <c r="AA89" s="242" t="e">
        <f>INDEX('[3]TONG HOP'!#REF!,MATCH(D89,'[3]TONG HOP'!$L$31:$L$400,0),335)+INDEX('[3]TONG HOP'!#REF!,MATCH(D89,'[3]TONG HOP'!$L$31:$L$400,0),336)</f>
        <v>#REF!</v>
      </c>
      <c r="AB89" s="242" t="e">
        <f>INDEX('[3]TONG HOP'!#REF!,MATCH(D89,'[3]TONG HOP'!$L$31:$L$400,0),367)</f>
        <v>#REF!</v>
      </c>
      <c r="AC89" s="246" t="e">
        <f>INDEX('[3]TONG HOP'!#REF!,MATCH(D89,'[3]TONG HOP'!$L$31:$L$400,0),364)</f>
        <v>#REF!</v>
      </c>
      <c r="AD89" s="242" t="e">
        <f>INDEX('[3]TONG HOP'!#REF!,MATCH(D89,'[3]TONG HOP'!$L$31:$L$400,0),4)</f>
        <v>#REF!</v>
      </c>
      <c r="AE89" s="245" t="e">
        <f>INDEX('[4]BIeu 03KBQT'!$A$11:$X$178,MATCH(D89,'[4]BIeu 03KBQT'!$D$11:$D$178,0),6)/1000000</f>
        <v>#REF!</v>
      </c>
      <c r="AF89" s="244" t="e">
        <f t="shared" si="2"/>
        <v>#REF!</v>
      </c>
      <c r="AG89" s="203">
        <f>INDEX('[4]BIeu 03KBQT'!$A$11:$X$178,MATCH(D89,'[4]BIeu 03KBQT'!$D$11:$D$178,0),24)/1000000</f>
        <v>180.931</v>
      </c>
      <c r="AH89" s="204">
        <f t="shared" si="1"/>
        <v>0</v>
      </c>
    </row>
    <row r="90" spans="1:34" s="200" customFormat="1" ht="27">
      <c r="A90" s="329">
        <v>52</v>
      </c>
      <c r="B90" s="240" t="s">
        <v>364</v>
      </c>
      <c r="C90" s="329" t="s">
        <v>305</v>
      </c>
      <c r="D90" s="241">
        <v>7568846</v>
      </c>
      <c r="E90" s="231">
        <v>7872.849</v>
      </c>
      <c r="F90" s="232">
        <v>4000</v>
      </c>
      <c r="G90" s="231">
        <v>189.238</v>
      </c>
      <c r="H90" s="233">
        <v>0</v>
      </c>
      <c r="I90" s="231">
        <v>189.238</v>
      </c>
      <c r="J90" s="231"/>
      <c r="K90" s="231"/>
      <c r="L90" s="328"/>
      <c r="M90" s="328"/>
      <c r="N90" s="328"/>
      <c r="O90" s="231">
        <v>0</v>
      </c>
      <c r="P90" s="231">
        <v>3446</v>
      </c>
      <c r="Q90" s="231">
        <v>3445.597</v>
      </c>
      <c r="R90" s="231">
        <v>3445.597</v>
      </c>
      <c r="S90" s="328"/>
      <c r="T90" s="328"/>
      <c r="U90" s="231">
        <v>0.40299999999979264</v>
      </c>
      <c r="V90" s="234">
        <v>3634.835</v>
      </c>
      <c r="W90" s="231">
        <v>0</v>
      </c>
      <c r="X90" s="233">
        <v>7445.597</v>
      </c>
      <c r="Y90" s="200">
        <v>0</v>
      </c>
      <c r="Z90" s="200">
        <v>3445.597</v>
      </c>
      <c r="AA90" s="242" t="e">
        <f>INDEX('[3]TONG HOP'!#REF!,MATCH(D90,'[3]TONG HOP'!$L$31:$L$400,0),335)+INDEX('[3]TONG HOP'!#REF!,MATCH(D90,'[3]TONG HOP'!$L$31:$L$400,0),336)</f>
        <v>#REF!</v>
      </c>
      <c r="AB90" s="242" t="e">
        <f>INDEX('[3]TONG HOP'!#REF!,MATCH(D90,'[3]TONG HOP'!$L$31:$L$400,0),367)</f>
        <v>#REF!</v>
      </c>
      <c r="AC90" s="246" t="e">
        <f>INDEX('[3]TONG HOP'!#REF!,MATCH(D90,'[3]TONG HOP'!$L$31:$L$400,0),364)</f>
        <v>#REF!</v>
      </c>
      <c r="AD90" s="242" t="e">
        <f>INDEX('[3]TONG HOP'!#REF!,MATCH(D90,'[3]TONG HOP'!$L$31:$L$400,0),4)</f>
        <v>#REF!</v>
      </c>
      <c r="AE90" s="245">
        <f>INDEX('[4]BIeu 03KBQT'!$A$11:$X$178,MATCH(D90,'[4]BIeu 03KBQT'!$D$11:$D$178,0),6)/1000000</f>
        <v>4000</v>
      </c>
      <c r="AF90" s="244">
        <f t="shared" si="2"/>
        <v>0</v>
      </c>
      <c r="AG90" s="203">
        <f>INDEX('[4]BIeu 03KBQT'!$A$11:$X$178,MATCH(D90,'[4]BIeu 03KBQT'!$D$11:$D$178,0),24)/1000000</f>
        <v>7445.597</v>
      </c>
      <c r="AH90" s="204">
        <f t="shared" si="1"/>
        <v>0</v>
      </c>
    </row>
    <row r="91" spans="1:34" s="236" customFormat="1" ht="16.5" customHeight="1">
      <c r="A91" s="329"/>
      <c r="B91" s="235" t="s">
        <v>310</v>
      </c>
      <c r="C91" s="330"/>
      <c r="D91" s="241"/>
      <c r="E91" s="328"/>
      <c r="F91" s="205"/>
      <c r="G91" s="328"/>
      <c r="H91" s="333"/>
      <c r="I91" s="328"/>
      <c r="J91" s="328"/>
      <c r="K91" s="328"/>
      <c r="L91" s="328"/>
      <c r="M91" s="328"/>
      <c r="N91" s="328"/>
      <c r="O91" s="328"/>
      <c r="P91" s="328"/>
      <c r="Q91" s="328"/>
      <c r="R91" s="328"/>
      <c r="S91" s="328"/>
      <c r="T91" s="328"/>
      <c r="U91" s="328"/>
      <c r="V91" s="332"/>
      <c r="W91" s="328"/>
      <c r="X91" s="333"/>
      <c r="AA91" s="201"/>
      <c r="AB91" s="201"/>
      <c r="AC91" s="237"/>
      <c r="AD91" s="214"/>
      <c r="AG91" s="213"/>
      <c r="AH91" s="238"/>
    </row>
    <row r="92" spans="1:34" s="236" customFormat="1" ht="16.5" customHeight="1">
      <c r="A92" s="329"/>
      <c r="B92" s="235" t="s">
        <v>311</v>
      </c>
      <c r="C92" s="330"/>
      <c r="D92" s="329"/>
      <c r="E92" s="328"/>
      <c r="F92" s="205"/>
      <c r="G92" s="328"/>
      <c r="H92" s="333"/>
      <c r="I92" s="328"/>
      <c r="J92" s="328"/>
      <c r="K92" s="328"/>
      <c r="L92" s="328"/>
      <c r="M92" s="328"/>
      <c r="N92" s="328"/>
      <c r="O92" s="328"/>
      <c r="P92" s="328"/>
      <c r="Q92" s="328"/>
      <c r="R92" s="328"/>
      <c r="S92" s="328"/>
      <c r="T92" s="328"/>
      <c r="U92" s="328"/>
      <c r="V92" s="332"/>
      <c r="W92" s="328"/>
      <c r="X92" s="333"/>
      <c r="AA92" s="201"/>
      <c r="AB92" s="201"/>
      <c r="AC92" s="237"/>
      <c r="AD92" s="214"/>
      <c r="AG92" s="213"/>
      <c r="AH92" s="238"/>
    </row>
    <row r="93" spans="1:34" s="236" customFormat="1" ht="16.5" customHeight="1">
      <c r="A93" s="329"/>
      <c r="B93" s="235" t="s">
        <v>312</v>
      </c>
      <c r="C93" s="330"/>
      <c r="D93" s="329"/>
      <c r="E93" s="328">
        <v>32639.605</v>
      </c>
      <c r="F93" s="205">
        <v>9794.425000000001</v>
      </c>
      <c r="G93" s="328">
        <v>336.262</v>
      </c>
      <c r="H93" s="333">
        <v>0</v>
      </c>
      <c r="I93" s="328">
        <v>336.262</v>
      </c>
      <c r="J93" s="328">
        <v>150</v>
      </c>
      <c r="K93" s="328">
        <v>150</v>
      </c>
      <c r="L93" s="328">
        <v>150</v>
      </c>
      <c r="M93" s="328">
        <v>0</v>
      </c>
      <c r="N93" s="328">
        <v>0</v>
      </c>
      <c r="O93" s="328">
        <v>0</v>
      </c>
      <c r="P93" s="328">
        <v>11623.951000000001</v>
      </c>
      <c r="Q93" s="328">
        <v>10181.116</v>
      </c>
      <c r="R93" s="328">
        <v>10056.281</v>
      </c>
      <c r="S93" s="328">
        <v>124.83500000000001</v>
      </c>
      <c r="T93" s="328">
        <v>0</v>
      </c>
      <c r="U93" s="328">
        <v>1442.8349999999998</v>
      </c>
      <c r="V93" s="332">
        <v>10542.543</v>
      </c>
      <c r="W93" s="328">
        <v>124.83500000000001</v>
      </c>
      <c r="X93" s="333">
        <v>20125.541</v>
      </c>
      <c r="AA93" s="201"/>
      <c r="AB93" s="201"/>
      <c r="AC93" s="237"/>
      <c r="AD93" s="214"/>
      <c r="AG93" s="213"/>
      <c r="AH93" s="238"/>
    </row>
    <row r="94" spans="1:34" s="200" customFormat="1" ht="27">
      <c r="A94" s="329">
        <v>53</v>
      </c>
      <c r="B94" s="240" t="s">
        <v>365</v>
      </c>
      <c r="C94" s="329" t="s">
        <v>305</v>
      </c>
      <c r="D94" s="241">
        <v>7402449</v>
      </c>
      <c r="E94" s="231">
        <v>14948</v>
      </c>
      <c r="F94" s="232">
        <v>4891.225</v>
      </c>
      <c r="G94" s="231">
        <v>336.262</v>
      </c>
      <c r="H94" s="233">
        <v>0</v>
      </c>
      <c r="I94" s="231">
        <v>336.262</v>
      </c>
      <c r="J94" s="231"/>
      <c r="K94" s="231"/>
      <c r="L94" s="328"/>
      <c r="M94" s="328"/>
      <c r="N94" s="328"/>
      <c r="O94" s="231">
        <v>0</v>
      </c>
      <c r="P94" s="231">
        <v>5500</v>
      </c>
      <c r="Q94" s="231">
        <v>5118.617</v>
      </c>
      <c r="R94" s="231">
        <v>5086.813</v>
      </c>
      <c r="S94" s="231">
        <v>31.804</v>
      </c>
      <c r="T94" s="328"/>
      <c r="U94" s="231">
        <v>381.3829999999998</v>
      </c>
      <c r="V94" s="234">
        <v>5423.075</v>
      </c>
      <c r="W94" s="231">
        <v>31.804</v>
      </c>
      <c r="X94" s="233">
        <v>10009.842</v>
      </c>
      <c r="Y94" s="200">
        <v>31.804</v>
      </c>
      <c r="Z94" s="200">
        <v>5118.617</v>
      </c>
      <c r="AA94" s="242" t="e">
        <f>INDEX('[3]TONG HOP'!#REF!,MATCH(D94,'[3]TONG HOP'!$L$31:$L$400,0),335)+INDEX('[3]TONG HOP'!#REF!,MATCH(D94,'[3]TONG HOP'!$L$31:$L$400,0),336)</f>
        <v>#REF!</v>
      </c>
      <c r="AB94" s="242" t="e">
        <f>INDEX('[3]TONG HOP'!#REF!,MATCH(D94,'[3]TONG HOP'!$L$31:$L$400,0),367)</f>
        <v>#REF!</v>
      </c>
      <c r="AC94" s="246" t="e">
        <f>INDEX('[3]TONG HOP'!#REF!,MATCH(D94,'[3]TONG HOP'!$L$31:$L$400,0),364)</f>
        <v>#REF!</v>
      </c>
      <c r="AD94" s="242" t="e">
        <f>INDEX('[3]TONG HOP'!#REF!,MATCH(D94,'[3]TONG HOP'!$L$31:$L$400,0),4)</f>
        <v>#REF!</v>
      </c>
      <c r="AE94" s="245">
        <f>INDEX('[4]BIeu 03KBQT'!$A$11:$X$178,MATCH(D94,'[4]BIeu 03KBQT'!$D$11:$D$178,0),6)/1000000</f>
        <v>4891.225</v>
      </c>
      <c r="AF94" s="244">
        <f>AE94-F94</f>
        <v>0</v>
      </c>
      <c r="AG94" s="203">
        <f>INDEX('[4]BIeu 03KBQT'!$A$11:$X$178,MATCH(D94,'[4]BIeu 03KBQT'!$D$11:$D$178,0),24)/1000000</f>
        <v>10009.842</v>
      </c>
      <c r="AH94" s="204">
        <f>AG94-X94</f>
        <v>0</v>
      </c>
    </row>
    <row r="95" spans="1:34" s="200" customFormat="1" ht="18.75" customHeight="1">
      <c r="A95" s="329">
        <v>54</v>
      </c>
      <c r="B95" s="240" t="s">
        <v>366</v>
      </c>
      <c r="C95" s="329" t="s">
        <v>305</v>
      </c>
      <c r="D95" s="241">
        <v>7430229</v>
      </c>
      <c r="E95" s="231">
        <v>6700.605</v>
      </c>
      <c r="F95" s="232">
        <v>4903.200000000001</v>
      </c>
      <c r="G95" s="231">
        <v>0</v>
      </c>
      <c r="H95" s="233">
        <v>0</v>
      </c>
      <c r="I95" s="231">
        <v>0</v>
      </c>
      <c r="J95" s="231"/>
      <c r="K95" s="231"/>
      <c r="L95" s="328"/>
      <c r="M95" s="328"/>
      <c r="N95" s="328"/>
      <c r="O95" s="231">
        <v>0</v>
      </c>
      <c r="P95" s="231">
        <v>98.951</v>
      </c>
      <c r="Q95" s="231">
        <v>98.951</v>
      </c>
      <c r="R95" s="231">
        <v>98.951</v>
      </c>
      <c r="S95" s="231"/>
      <c r="T95" s="328"/>
      <c r="U95" s="231">
        <v>0</v>
      </c>
      <c r="V95" s="234">
        <v>98.951</v>
      </c>
      <c r="W95" s="231">
        <v>0</v>
      </c>
      <c r="X95" s="233">
        <v>5002.151000000001</v>
      </c>
      <c r="Y95" s="200">
        <v>0</v>
      </c>
      <c r="Z95" s="200">
        <v>98.951</v>
      </c>
      <c r="AA95" s="242" t="e">
        <f>INDEX('[3]TONG HOP'!#REF!,MATCH(D95,'[3]TONG HOP'!$L$31:$L$400,0),335)+INDEX('[3]TONG HOP'!#REF!,MATCH(D95,'[3]TONG HOP'!$L$31:$L$400,0),336)</f>
        <v>#REF!</v>
      </c>
      <c r="AB95" s="242" t="e">
        <f>INDEX('[3]TONG HOP'!#REF!,MATCH(D95,'[3]TONG HOP'!$L$31:$L$400,0),367)</f>
        <v>#REF!</v>
      </c>
      <c r="AC95" s="246" t="e">
        <f>INDEX('[3]TONG HOP'!#REF!,MATCH(D95,'[3]TONG HOP'!$L$31:$L$400,0),364)</f>
        <v>#REF!</v>
      </c>
      <c r="AD95" s="242" t="e">
        <f>INDEX('[3]TONG HOP'!#REF!,MATCH(D95,'[3]TONG HOP'!$L$31:$L$400,0),4)</f>
        <v>#REF!</v>
      </c>
      <c r="AE95" s="245">
        <f>INDEX('[4]BIeu 03KBQT'!$A$11:$X$178,MATCH(D95,'[4]BIeu 03KBQT'!$D$11:$D$178,0),6)/1000000</f>
        <v>4903.2</v>
      </c>
      <c r="AF95" s="244">
        <f>AE95-F95</f>
        <v>0</v>
      </c>
      <c r="AG95" s="203">
        <f>INDEX('[4]BIeu 03KBQT'!$A$11:$X$178,MATCH(D95,'[4]BIeu 03KBQT'!$D$11:$D$178,0),24)/1000000</f>
        <v>5002.151</v>
      </c>
      <c r="AH95" s="204">
        <f>AG95-X95</f>
        <v>0</v>
      </c>
    </row>
    <row r="96" spans="1:34" s="200" customFormat="1" ht="18.75" customHeight="1">
      <c r="A96" s="329">
        <v>55</v>
      </c>
      <c r="B96" s="240" t="s">
        <v>367</v>
      </c>
      <c r="C96" s="329" t="s">
        <v>305</v>
      </c>
      <c r="D96" s="241">
        <v>7580550</v>
      </c>
      <c r="E96" s="231">
        <v>5009</v>
      </c>
      <c r="F96" s="232">
        <v>0</v>
      </c>
      <c r="G96" s="231">
        <v>0</v>
      </c>
      <c r="H96" s="233">
        <v>0</v>
      </c>
      <c r="I96" s="231">
        <v>0</v>
      </c>
      <c r="J96" s="231"/>
      <c r="K96" s="231"/>
      <c r="L96" s="328"/>
      <c r="M96" s="328"/>
      <c r="N96" s="328"/>
      <c r="O96" s="231">
        <v>0</v>
      </c>
      <c r="P96" s="231">
        <v>1090</v>
      </c>
      <c r="Q96" s="231">
        <v>361.918</v>
      </c>
      <c r="R96" s="231">
        <v>361.918</v>
      </c>
      <c r="S96" s="231"/>
      <c r="T96" s="328"/>
      <c r="U96" s="231">
        <v>728.082</v>
      </c>
      <c r="V96" s="234">
        <v>361.918</v>
      </c>
      <c r="W96" s="231">
        <v>0</v>
      </c>
      <c r="X96" s="233">
        <v>361.918</v>
      </c>
      <c r="Y96" s="200">
        <v>40</v>
      </c>
      <c r="Z96" s="200">
        <v>3435.3540000000003</v>
      </c>
      <c r="AA96" s="242" t="e">
        <f>INDEX('[3]TONG HOP'!#REF!,MATCH(D96,'[3]TONG HOP'!$L$31:$L$400,0),335)+INDEX('[3]TONG HOP'!#REF!,MATCH(D96,'[3]TONG HOP'!$L$31:$L$400,0),336)</f>
        <v>#REF!</v>
      </c>
      <c r="AB96" s="242" t="e">
        <f>INDEX('[3]TONG HOP'!#REF!,MATCH(D96,'[3]TONG HOP'!$L$31:$L$400,0),367)</f>
        <v>#REF!</v>
      </c>
      <c r="AC96" s="246" t="e">
        <f>INDEX('[3]TONG HOP'!#REF!,MATCH(D96,'[3]TONG HOP'!$L$31:$L$400,0),364)</f>
        <v>#REF!</v>
      </c>
      <c r="AD96" s="242" t="e">
        <f>INDEX('[3]TONG HOP'!#REF!,MATCH(D96,'[3]TONG HOP'!$L$31:$L$400,0),4)</f>
        <v>#REF!</v>
      </c>
      <c r="AE96" s="245" t="e">
        <f>INDEX('[4]BIeu 03KBQT'!$A$11:$X$178,MATCH(D96,'[4]BIeu 03KBQT'!$D$11:$D$178,0),6)/1000000</f>
        <v>#REF!</v>
      </c>
      <c r="AF96" s="244" t="e">
        <f>AE96-F96</f>
        <v>#REF!</v>
      </c>
      <c r="AG96" s="203">
        <f>INDEX('[4]BIeu 03KBQT'!$A$11:$X$178,MATCH(D96,'[4]BIeu 03KBQT'!$D$11:$D$178,0),24)/1000000</f>
        <v>361.918</v>
      </c>
      <c r="AH96" s="204">
        <f>AG96-X96</f>
        <v>0</v>
      </c>
    </row>
    <row r="97" spans="1:34" s="200" customFormat="1" ht="27">
      <c r="A97" s="329">
        <v>56</v>
      </c>
      <c r="B97" s="240" t="s">
        <v>368</v>
      </c>
      <c r="C97" s="329" t="s">
        <v>305</v>
      </c>
      <c r="D97" s="241">
        <v>7598699</v>
      </c>
      <c r="E97" s="231">
        <v>4321</v>
      </c>
      <c r="F97" s="232">
        <v>0</v>
      </c>
      <c r="G97" s="231">
        <v>0</v>
      </c>
      <c r="H97" s="233">
        <v>0</v>
      </c>
      <c r="I97" s="231">
        <v>0</v>
      </c>
      <c r="J97" s="231"/>
      <c r="K97" s="231"/>
      <c r="L97" s="328"/>
      <c r="M97" s="328"/>
      <c r="N97" s="328"/>
      <c r="O97" s="231">
        <v>0</v>
      </c>
      <c r="P97" s="231">
        <v>3830</v>
      </c>
      <c r="Q97" s="231">
        <v>3648.807</v>
      </c>
      <c r="R97" s="231">
        <v>3575.535</v>
      </c>
      <c r="S97" s="231">
        <v>73.272</v>
      </c>
      <c r="T97" s="328"/>
      <c r="U97" s="231">
        <v>181.1930000000002</v>
      </c>
      <c r="V97" s="234">
        <v>3575.535</v>
      </c>
      <c r="W97" s="231">
        <v>73.272</v>
      </c>
      <c r="X97" s="233">
        <v>3648.807</v>
      </c>
      <c r="Y97" s="200">
        <v>73.272</v>
      </c>
      <c r="Z97" s="200">
        <v>3648.807</v>
      </c>
      <c r="AA97" s="242" t="e">
        <f>INDEX('[3]TONG HOP'!#REF!,MATCH(D97,'[3]TONG HOP'!$L$31:$L$400,0),335)+INDEX('[3]TONG HOP'!#REF!,MATCH(D97,'[3]TONG HOP'!$L$31:$L$400,0),336)</f>
        <v>#REF!</v>
      </c>
      <c r="AB97" s="242" t="e">
        <f>INDEX('[3]TONG HOP'!#REF!,MATCH(D97,'[3]TONG HOP'!$L$31:$L$400,0),367)</f>
        <v>#REF!</v>
      </c>
      <c r="AC97" s="246" t="e">
        <f>INDEX('[3]TONG HOP'!#REF!,MATCH(D97,'[3]TONG HOP'!$L$31:$L$400,0),364)</f>
        <v>#REF!</v>
      </c>
      <c r="AD97" s="242" t="e">
        <f>INDEX('[3]TONG HOP'!#REF!,MATCH(D97,'[3]TONG HOP'!$L$31:$L$400,0),4)</f>
        <v>#REF!</v>
      </c>
      <c r="AE97" s="245" t="e">
        <f>INDEX('[4]BIeu 03KBQT'!$A$11:$X$178,MATCH(D97,'[4]BIeu 03KBQT'!$D$11:$D$178,0),6)/1000000</f>
        <v>#REF!</v>
      </c>
      <c r="AF97" s="244" t="e">
        <f>AE97-F97</f>
        <v>#REF!</v>
      </c>
      <c r="AG97" s="203">
        <f>INDEX('[4]BIeu 03KBQT'!$A$11:$X$178,MATCH(D97,'[4]BIeu 03KBQT'!$D$11:$D$178,0),24)/1000000</f>
        <v>3648.807</v>
      </c>
      <c r="AH97" s="204">
        <f>AG97-X97</f>
        <v>0</v>
      </c>
    </row>
    <row r="98" spans="1:34" s="200" customFormat="1" ht="27">
      <c r="A98" s="329">
        <v>57</v>
      </c>
      <c r="B98" s="240" t="s">
        <v>369</v>
      </c>
      <c r="C98" s="329" t="s">
        <v>305</v>
      </c>
      <c r="D98" s="241">
        <v>7613509</v>
      </c>
      <c r="E98" s="231">
        <v>1661</v>
      </c>
      <c r="F98" s="232">
        <v>0</v>
      </c>
      <c r="G98" s="231">
        <v>0</v>
      </c>
      <c r="H98" s="233">
        <v>0</v>
      </c>
      <c r="I98" s="231">
        <v>0</v>
      </c>
      <c r="J98" s="231">
        <v>150</v>
      </c>
      <c r="K98" s="231">
        <v>150</v>
      </c>
      <c r="L98" s="231">
        <v>150</v>
      </c>
      <c r="M98" s="328"/>
      <c r="N98" s="328"/>
      <c r="O98" s="231">
        <v>0</v>
      </c>
      <c r="P98" s="231">
        <v>1105</v>
      </c>
      <c r="Q98" s="231">
        <v>952.8230000000001</v>
      </c>
      <c r="R98" s="231">
        <v>933.0640000000001</v>
      </c>
      <c r="S98" s="231">
        <v>19.759</v>
      </c>
      <c r="T98" s="328"/>
      <c r="U98" s="231">
        <v>152.1769999999999</v>
      </c>
      <c r="V98" s="234">
        <v>1083.064</v>
      </c>
      <c r="W98" s="231">
        <v>19.759</v>
      </c>
      <c r="X98" s="233">
        <v>1102.823</v>
      </c>
      <c r="Y98" s="200">
        <v>19.759</v>
      </c>
      <c r="Z98" s="200">
        <v>1102.823</v>
      </c>
      <c r="AA98" s="242" t="e">
        <f>INDEX('[3]TONG HOP'!#REF!,MATCH(D98,'[3]TONG HOP'!$L$31:$L$400,0),335)+INDEX('[3]TONG HOP'!#REF!,MATCH(D98,'[3]TONG HOP'!$L$31:$L$400,0),336)</f>
        <v>#REF!</v>
      </c>
      <c r="AB98" s="242" t="e">
        <f>INDEX('[3]TONG HOP'!#REF!,MATCH(D98,'[3]TONG HOP'!$L$31:$L$400,0),367)</f>
        <v>#REF!</v>
      </c>
      <c r="AC98" s="246" t="e">
        <f>INDEX('[3]TONG HOP'!#REF!,MATCH(D98,'[3]TONG HOP'!$L$31:$L$400,0),364)</f>
        <v>#REF!</v>
      </c>
      <c r="AD98" s="242" t="e">
        <f>INDEX('[3]TONG HOP'!#REF!,MATCH(D98,'[3]TONG HOP'!$L$31:$L$400,0),4)</f>
        <v>#REF!</v>
      </c>
      <c r="AE98" s="245" t="e">
        <f>INDEX('[4]BIeu 03KBQT'!$A$11:$X$178,MATCH(D98,'[4]BIeu 03KBQT'!$D$11:$D$178,0),6)/1000000</f>
        <v>#REF!</v>
      </c>
      <c r="AF98" s="244" t="e">
        <f>AE98-F98</f>
        <v>#REF!</v>
      </c>
      <c r="AG98" s="203">
        <f>INDEX('[4]BIeu 03KBQT'!$A$11:$X$178,MATCH(D98,'[4]BIeu 03KBQT'!$D$11:$D$178,0),24)/1000000</f>
        <v>1102.823</v>
      </c>
      <c r="AH98" s="204">
        <f>AG98-X98</f>
        <v>0</v>
      </c>
    </row>
    <row r="99" spans="1:34" s="236" customFormat="1" ht="13.5">
      <c r="A99" s="329"/>
      <c r="B99" s="235" t="s">
        <v>313</v>
      </c>
      <c r="C99" s="330"/>
      <c r="D99" s="329"/>
      <c r="E99" s="328"/>
      <c r="F99" s="205"/>
      <c r="G99" s="328"/>
      <c r="H99" s="333"/>
      <c r="I99" s="328"/>
      <c r="J99" s="328"/>
      <c r="K99" s="328"/>
      <c r="L99" s="328"/>
      <c r="M99" s="328"/>
      <c r="N99" s="328"/>
      <c r="O99" s="328"/>
      <c r="P99" s="328"/>
      <c r="Q99" s="328"/>
      <c r="R99" s="328"/>
      <c r="S99" s="328"/>
      <c r="T99" s="328"/>
      <c r="U99" s="328"/>
      <c r="V99" s="332"/>
      <c r="W99" s="328"/>
      <c r="X99" s="333"/>
      <c r="AA99" s="201"/>
      <c r="AB99" s="201"/>
      <c r="AC99" s="237"/>
      <c r="AD99" s="214"/>
      <c r="AG99" s="213"/>
      <c r="AH99" s="238"/>
    </row>
    <row r="100" spans="1:34" s="236" customFormat="1" ht="13.5">
      <c r="A100" s="329"/>
      <c r="B100" s="251" t="s">
        <v>370</v>
      </c>
      <c r="C100" s="330"/>
      <c r="D100" s="329"/>
      <c r="E100" s="328"/>
      <c r="F100" s="205"/>
      <c r="G100" s="328"/>
      <c r="H100" s="333"/>
      <c r="I100" s="328"/>
      <c r="J100" s="328"/>
      <c r="K100" s="328"/>
      <c r="L100" s="328"/>
      <c r="M100" s="328"/>
      <c r="N100" s="328"/>
      <c r="O100" s="328"/>
      <c r="P100" s="328">
        <v>2862.1830000000045</v>
      </c>
      <c r="Q100" s="328"/>
      <c r="R100" s="328"/>
      <c r="S100" s="328"/>
      <c r="T100" s="328">
        <v>1000</v>
      </c>
      <c r="U100" s="328">
        <v>1862.1830000000045</v>
      </c>
      <c r="V100" s="332"/>
      <c r="W100" s="328"/>
      <c r="X100" s="333"/>
      <c r="AA100" s="201"/>
      <c r="AB100" s="201"/>
      <c r="AC100" s="237"/>
      <c r="AD100" s="214"/>
      <c r="AG100" s="213"/>
      <c r="AH100" s="238"/>
    </row>
    <row r="101" spans="1:34" s="200" customFormat="1" ht="13.5">
      <c r="A101" s="329" t="s">
        <v>25</v>
      </c>
      <c r="B101" s="215" t="s">
        <v>371</v>
      </c>
      <c r="C101" s="330"/>
      <c r="D101" s="329"/>
      <c r="E101" s="328"/>
      <c r="F101" s="205"/>
      <c r="G101" s="328"/>
      <c r="H101" s="333"/>
      <c r="I101" s="328"/>
      <c r="J101" s="328"/>
      <c r="K101" s="328"/>
      <c r="L101" s="328"/>
      <c r="M101" s="328"/>
      <c r="N101" s="328"/>
      <c r="O101" s="328"/>
      <c r="P101" s="328"/>
      <c r="Q101" s="328"/>
      <c r="R101" s="328"/>
      <c r="S101" s="328"/>
      <c r="T101" s="328"/>
      <c r="U101" s="328"/>
      <c r="V101" s="332"/>
      <c r="W101" s="328"/>
      <c r="X101" s="333"/>
      <c r="AA101" s="201"/>
      <c r="AB101" s="201"/>
      <c r="AC101" s="202"/>
      <c r="AD101" s="214"/>
      <c r="AG101" s="203"/>
      <c r="AH101" s="204"/>
    </row>
    <row r="102" spans="1:34" s="200" customFormat="1" ht="14.25">
      <c r="A102" s="252">
        <v>1</v>
      </c>
      <c r="B102" s="253" t="s">
        <v>372</v>
      </c>
      <c r="C102" s="254"/>
      <c r="D102" s="252"/>
      <c r="E102" s="255"/>
      <c r="F102" s="256"/>
      <c r="G102" s="255"/>
      <c r="H102" s="257"/>
      <c r="I102" s="255"/>
      <c r="J102" s="255"/>
      <c r="K102" s="255"/>
      <c r="L102" s="255"/>
      <c r="M102" s="255"/>
      <c r="N102" s="255"/>
      <c r="O102" s="255"/>
      <c r="P102" s="255"/>
      <c r="Q102" s="255"/>
      <c r="R102" s="255"/>
      <c r="S102" s="255"/>
      <c r="T102" s="255"/>
      <c r="U102" s="255"/>
      <c r="V102" s="258"/>
      <c r="W102" s="255"/>
      <c r="X102" s="257"/>
      <c r="AA102" s="201"/>
      <c r="AB102" s="201"/>
      <c r="AC102" s="202"/>
      <c r="AD102" s="214"/>
      <c r="AG102" s="203"/>
      <c r="AH102" s="204"/>
    </row>
    <row r="103" spans="1:34" s="200" customFormat="1" ht="13.5">
      <c r="A103" s="329"/>
      <c r="B103" s="259" t="s">
        <v>373</v>
      </c>
      <c r="C103" s="329"/>
      <c r="D103" s="329"/>
      <c r="E103" s="231"/>
      <c r="F103" s="232"/>
      <c r="G103" s="231"/>
      <c r="H103" s="233"/>
      <c r="I103" s="231"/>
      <c r="J103" s="231"/>
      <c r="K103" s="231"/>
      <c r="L103" s="231"/>
      <c r="M103" s="231"/>
      <c r="N103" s="231"/>
      <c r="O103" s="231"/>
      <c r="P103" s="231"/>
      <c r="Q103" s="231"/>
      <c r="R103" s="231"/>
      <c r="S103" s="231"/>
      <c r="T103" s="231"/>
      <c r="U103" s="231"/>
      <c r="V103" s="234"/>
      <c r="W103" s="231"/>
      <c r="X103" s="233"/>
      <c r="AA103" s="201"/>
      <c r="AB103" s="201"/>
      <c r="AC103" s="202"/>
      <c r="AD103" s="214"/>
      <c r="AG103" s="203"/>
      <c r="AH103" s="204"/>
    </row>
    <row r="104" spans="1:34" s="200" customFormat="1" ht="13.5">
      <c r="A104" s="329" t="s">
        <v>28</v>
      </c>
      <c r="B104" s="215" t="s">
        <v>374</v>
      </c>
      <c r="C104" s="330"/>
      <c r="D104" s="329"/>
      <c r="E104" s="328"/>
      <c r="F104" s="205"/>
      <c r="G104" s="328"/>
      <c r="H104" s="333"/>
      <c r="I104" s="328"/>
      <c r="J104" s="328"/>
      <c r="K104" s="328"/>
      <c r="L104" s="328"/>
      <c r="M104" s="328"/>
      <c r="N104" s="328"/>
      <c r="O104" s="328"/>
      <c r="P104" s="328"/>
      <c r="Q104" s="328"/>
      <c r="R104" s="328"/>
      <c r="S104" s="328"/>
      <c r="T104" s="328"/>
      <c r="U104" s="328"/>
      <c r="V104" s="332"/>
      <c r="W104" s="328"/>
      <c r="X104" s="333"/>
      <c r="AA104" s="201"/>
      <c r="AB104" s="201"/>
      <c r="AC104" s="202"/>
      <c r="AD104" s="214"/>
      <c r="AG104" s="203"/>
      <c r="AH104" s="204"/>
    </row>
    <row r="105" spans="1:34" s="200" customFormat="1" ht="14.25">
      <c r="A105" s="252">
        <v>1</v>
      </c>
      <c r="B105" s="253" t="s">
        <v>375</v>
      </c>
      <c r="C105" s="254"/>
      <c r="D105" s="252"/>
      <c r="E105" s="255"/>
      <c r="F105" s="256"/>
      <c r="G105" s="255"/>
      <c r="H105" s="257"/>
      <c r="I105" s="255"/>
      <c r="J105" s="255"/>
      <c r="K105" s="255"/>
      <c r="L105" s="255"/>
      <c r="M105" s="255"/>
      <c r="N105" s="255"/>
      <c r="O105" s="255"/>
      <c r="P105" s="255"/>
      <c r="Q105" s="255"/>
      <c r="R105" s="255"/>
      <c r="S105" s="255"/>
      <c r="T105" s="255"/>
      <c r="U105" s="255"/>
      <c r="V105" s="258"/>
      <c r="W105" s="255"/>
      <c r="X105" s="257"/>
      <c r="AA105" s="201"/>
      <c r="AB105" s="201"/>
      <c r="AC105" s="202"/>
      <c r="AD105" s="214"/>
      <c r="AG105" s="203"/>
      <c r="AH105" s="204"/>
    </row>
    <row r="106" spans="1:34" s="200" customFormat="1" ht="13.5">
      <c r="A106" s="329"/>
      <c r="B106" s="259" t="s">
        <v>373</v>
      </c>
      <c r="C106" s="329"/>
      <c r="D106" s="329"/>
      <c r="E106" s="231"/>
      <c r="F106" s="232"/>
      <c r="G106" s="231"/>
      <c r="H106" s="233"/>
      <c r="I106" s="231"/>
      <c r="J106" s="231"/>
      <c r="K106" s="231"/>
      <c r="L106" s="231"/>
      <c r="M106" s="231"/>
      <c r="N106" s="231"/>
      <c r="O106" s="231"/>
      <c r="P106" s="231"/>
      <c r="Q106" s="231"/>
      <c r="R106" s="231"/>
      <c r="S106" s="231"/>
      <c r="T106" s="231"/>
      <c r="U106" s="231"/>
      <c r="V106" s="234"/>
      <c r="W106" s="231"/>
      <c r="X106" s="233"/>
      <c r="AA106" s="201"/>
      <c r="AB106" s="201"/>
      <c r="AC106" s="202"/>
      <c r="AD106" s="214"/>
      <c r="AG106" s="203"/>
      <c r="AH106" s="204"/>
    </row>
    <row r="107" spans="1:34" s="223" customFormat="1" ht="13.5">
      <c r="A107" s="216" t="s">
        <v>30</v>
      </c>
      <c r="B107" s="217" t="s">
        <v>376</v>
      </c>
      <c r="C107" s="218"/>
      <c r="D107" s="216"/>
      <c r="E107" s="219">
        <v>198212.75699999998</v>
      </c>
      <c r="F107" s="220">
        <v>40074.745</v>
      </c>
      <c r="G107" s="219">
        <v>5048.936</v>
      </c>
      <c r="H107" s="221">
        <v>99.426</v>
      </c>
      <c r="I107" s="219">
        <v>4949.509999999999</v>
      </c>
      <c r="J107" s="222">
        <v>13611.782</v>
      </c>
      <c r="K107" s="222">
        <v>13577.552</v>
      </c>
      <c r="L107" s="219">
        <v>11208.475999999999</v>
      </c>
      <c r="M107" s="219">
        <v>2369.076</v>
      </c>
      <c r="N107" s="219">
        <v>0</v>
      </c>
      <c r="O107" s="219">
        <v>34.230000000000246</v>
      </c>
      <c r="P107" s="222">
        <v>45000</v>
      </c>
      <c r="Q107" s="222">
        <v>37649.041000000005</v>
      </c>
      <c r="R107" s="219">
        <v>32700.669</v>
      </c>
      <c r="S107" s="219">
        <v>4948.372</v>
      </c>
      <c r="T107" s="219">
        <v>4345.781999999999</v>
      </c>
      <c r="U107" s="219">
        <v>3005.176999999999</v>
      </c>
      <c r="V107" s="222">
        <v>48858.655</v>
      </c>
      <c r="W107" s="219">
        <v>7317.448000000001</v>
      </c>
      <c r="X107" s="221">
        <v>91201.912</v>
      </c>
      <c r="AA107" s="224"/>
      <c r="AB107" s="224"/>
      <c r="AC107" s="225"/>
      <c r="AD107" s="227"/>
      <c r="AG107" s="228"/>
      <c r="AH107" s="229"/>
    </row>
    <row r="108" spans="1:34" s="200" customFormat="1" ht="13.5">
      <c r="A108" s="329"/>
      <c r="B108" s="215" t="s">
        <v>298</v>
      </c>
      <c r="C108" s="330"/>
      <c r="D108" s="329"/>
      <c r="E108" s="328">
        <v>21959.161</v>
      </c>
      <c r="F108" s="205">
        <v>0</v>
      </c>
      <c r="G108" s="328">
        <v>0</v>
      </c>
      <c r="H108" s="333">
        <v>0</v>
      </c>
      <c r="I108" s="328">
        <v>0</v>
      </c>
      <c r="J108" s="328">
        <v>0</v>
      </c>
      <c r="K108" s="328">
        <v>0</v>
      </c>
      <c r="L108" s="328">
        <v>0</v>
      </c>
      <c r="M108" s="328">
        <v>0</v>
      </c>
      <c r="N108" s="328">
        <v>0</v>
      </c>
      <c r="O108" s="328">
        <v>0</v>
      </c>
      <c r="P108" s="328">
        <v>300</v>
      </c>
      <c r="Q108" s="328">
        <v>281.256</v>
      </c>
      <c r="R108" s="328">
        <v>281.256</v>
      </c>
      <c r="S108" s="328">
        <v>0</v>
      </c>
      <c r="T108" s="328">
        <v>0</v>
      </c>
      <c r="U108" s="328">
        <v>18.744000000000028</v>
      </c>
      <c r="V108" s="332">
        <v>281.256</v>
      </c>
      <c r="W108" s="328">
        <v>0</v>
      </c>
      <c r="X108" s="333">
        <v>281.256</v>
      </c>
      <c r="AA108" s="201"/>
      <c r="AB108" s="201"/>
      <c r="AC108" s="202"/>
      <c r="AD108" s="214"/>
      <c r="AG108" s="203"/>
      <c r="AH108" s="204"/>
    </row>
    <row r="109" spans="1:34" s="236" customFormat="1" ht="13.5">
      <c r="A109" s="329"/>
      <c r="B109" s="235" t="s">
        <v>299</v>
      </c>
      <c r="C109" s="330"/>
      <c r="D109" s="329"/>
      <c r="E109" s="328"/>
      <c r="F109" s="205"/>
      <c r="G109" s="328"/>
      <c r="H109" s="333"/>
      <c r="I109" s="328"/>
      <c r="J109" s="328"/>
      <c r="K109" s="328"/>
      <c r="L109" s="328"/>
      <c r="M109" s="328"/>
      <c r="N109" s="328"/>
      <c r="O109" s="328"/>
      <c r="P109" s="328"/>
      <c r="Q109" s="328"/>
      <c r="R109" s="328"/>
      <c r="S109" s="328"/>
      <c r="T109" s="328"/>
      <c r="U109" s="328"/>
      <c r="V109" s="332"/>
      <c r="W109" s="328"/>
      <c r="X109" s="333"/>
      <c r="AA109" s="201"/>
      <c r="AB109" s="201"/>
      <c r="AC109" s="237"/>
      <c r="AD109" s="214"/>
      <c r="AG109" s="213"/>
      <c r="AH109" s="238"/>
    </row>
    <row r="110" spans="1:34" s="236" customFormat="1" ht="13.5">
      <c r="A110" s="329"/>
      <c r="B110" s="235" t="s">
        <v>300</v>
      </c>
      <c r="C110" s="330"/>
      <c r="D110" s="329"/>
      <c r="E110" s="328">
        <v>21959.161</v>
      </c>
      <c r="F110" s="205">
        <v>0</v>
      </c>
      <c r="G110" s="328">
        <v>0</v>
      </c>
      <c r="H110" s="333">
        <v>0</v>
      </c>
      <c r="I110" s="328">
        <v>0</v>
      </c>
      <c r="J110" s="328">
        <v>0</v>
      </c>
      <c r="K110" s="328">
        <v>0</v>
      </c>
      <c r="L110" s="328">
        <v>0</v>
      </c>
      <c r="M110" s="328">
        <v>0</v>
      </c>
      <c r="N110" s="328">
        <v>0</v>
      </c>
      <c r="O110" s="328">
        <v>0</v>
      </c>
      <c r="P110" s="328">
        <v>300</v>
      </c>
      <c r="Q110" s="328">
        <v>281.256</v>
      </c>
      <c r="R110" s="328">
        <v>281.256</v>
      </c>
      <c r="S110" s="328">
        <v>0</v>
      </c>
      <c r="T110" s="328">
        <v>0</v>
      </c>
      <c r="U110" s="328">
        <v>18.744000000000028</v>
      </c>
      <c r="V110" s="332">
        <v>281.256</v>
      </c>
      <c r="W110" s="328">
        <v>0</v>
      </c>
      <c r="X110" s="333">
        <v>281.256</v>
      </c>
      <c r="AA110" s="201"/>
      <c r="AB110" s="201"/>
      <c r="AC110" s="237"/>
      <c r="AD110" s="214"/>
      <c r="AG110" s="213"/>
      <c r="AH110" s="238"/>
    </row>
    <row r="111" spans="1:34" s="250" customFormat="1" ht="27">
      <c r="A111" s="329">
        <v>58</v>
      </c>
      <c r="B111" s="240" t="s">
        <v>377</v>
      </c>
      <c r="C111" s="329" t="s">
        <v>305</v>
      </c>
      <c r="D111" s="260">
        <v>7594215</v>
      </c>
      <c r="E111" s="231">
        <v>21959.161</v>
      </c>
      <c r="F111" s="232">
        <v>0</v>
      </c>
      <c r="G111" s="231">
        <v>0</v>
      </c>
      <c r="H111" s="233">
        <v>0</v>
      </c>
      <c r="I111" s="231">
        <v>0</v>
      </c>
      <c r="J111" s="328"/>
      <c r="K111" s="328"/>
      <c r="L111" s="328"/>
      <c r="M111" s="328"/>
      <c r="N111" s="328"/>
      <c r="O111" s="231">
        <v>0</v>
      </c>
      <c r="P111" s="231">
        <v>300</v>
      </c>
      <c r="Q111" s="231">
        <v>281.256</v>
      </c>
      <c r="R111" s="231">
        <v>281.256</v>
      </c>
      <c r="S111" s="328"/>
      <c r="T111" s="328"/>
      <c r="U111" s="231">
        <v>18.744000000000028</v>
      </c>
      <c r="V111" s="234">
        <v>281.256</v>
      </c>
      <c r="W111" s="231">
        <v>0</v>
      </c>
      <c r="X111" s="233">
        <v>281.256</v>
      </c>
      <c r="Y111" s="250">
        <v>0</v>
      </c>
      <c r="Z111" s="250">
        <v>281.256</v>
      </c>
      <c r="AA111" s="242" t="e">
        <f>INDEX('[3]TONG HOP'!#REF!,MATCH(D111,'[3]TONG HOP'!$L$31:$L$400,0),337)+INDEX('[3]TONG HOP'!#REF!,MATCH(D111,'[3]TONG HOP'!$L$31:$L$400,0),338)</f>
        <v>#REF!</v>
      </c>
      <c r="AB111" s="242" t="e">
        <f>INDEX('[3]TONG HOP'!#REF!,MATCH(D111,'[3]TONG HOP'!$L$31:$L$400,0),367)</f>
        <v>#REF!</v>
      </c>
      <c r="AC111" s="246" t="e">
        <f>INDEX('[3]TONG HOP'!#REF!,MATCH(D111,'[3]TONG HOP'!$L$31:$L$400,0),364)</f>
        <v>#REF!</v>
      </c>
      <c r="AD111" s="242" t="e">
        <f>INDEX('[3]TONG HOP'!#REF!,MATCH(D111,'[3]TONG HOP'!$L$31:$L$400,0),4)</f>
        <v>#REF!</v>
      </c>
      <c r="AE111" s="245" t="e">
        <f>INDEX('[4]BIeu 03KBQT'!$A$11:$X$178,MATCH(D111,'[4]BIeu 03KBQT'!$D$11:$D$178,0),6)/1000000</f>
        <v>#REF!</v>
      </c>
      <c r="AF111" s="244" t="e">
        <f>AE111-F111</f>
        <v>#REF!</v>
      </c>
      <c r="AG111" s="203">
        <f>INDEX('[4]BIeu 03KBQT'!$A$11:$X$178,MATCH(D111,'[4]BIeu 03KBQT'!$D$11:$D$178,0),24)/1000000</f>
        <v>281.256</v>
      </c>
      <c r="AH111" s="204">
        <f>AG111-X111</f>
        <v>0</v>
      </c>
    </row>
    <row r="112" spans="1:34" s="236" customFormat="1" ht="13.5">
      <c r="A112" s="329"/>
      <c r="B112" s="235" t="s">
        <v>301</v>
      </c>
      <c r="C112" s="330"/>
      <c r="D112" s="329"/>
      <c r="E112" s="328"/>
      <c r="F112" s="205"/>
      <c r="G112" s="328"/>
      <c r="H112" s="333"/>
      <c r="I112" s="328"/>
      <c r="J112" s="328"/>
      <c r="K112" s="328"/>
      <c r="L112" s="328"/>
      <c r="M112" s="328"/>
      <c r="N112" s="328"/>
      <c r="O112" s="328"/>
      <c r="P112" s="328"/>
      <c r="Q112" s="328"/>
      <c r="R112" s="328"/>
      <c r="S112" s="328"/>
      <c r="T112" s="328"/>
      <c r="U112" s="328"/>
      <c r="V112" s="332"/>
      <c r="W112" s="328"/>
      <c r="X112" s="333"/>
      <c r="AA112" s="201"/>
      <c r="AB112" s="201"/>
      <c r="AC112" s="237"/>
      <c r="AD112" s="214"/>
      <c r="AG112" s="213"/>
      <c r="AH112" s="238"/>
    </row>
    <row r="113" spans="1:34" s="236" customFormat="1" ht="13.5">
      <c r="A113" s="329"/>
      <c r="B113" s="239" t="s">
        <v>302</v>
      </c>
      <c r="C113" s="330"/>
      <c r="D113" s="329"/>
      <c r="E113" s="328"/>
      <c r="F113" s="205"/>
      <c r="G113" s="328"/>
      <c r="H113" s="333"/>
      <c r="I113" s="328"/>
      <c r="J113" s="328"/>
      <c r="K113" s="328"/>
      <c r="L113" s="328"/>
      <c r="M113" s="328"/>
      <c r="N113" s="328"/>
      <c r="O113" s="328"/>
      <c r="P113" s="328"/>
      <c r="Q113" s="328"/>
      <c r="R113" s="328"/>
      <c r="S113" s="328"/>
      <c r="T113" s="328"/>
      <c r="U113" s="328"/>
      <c r="V113" s="332"/>
      <c r="W113" s="328"/>
      <c r="X113" s="333"/>
      <c r="AA113" s="201"/>
      <c r="AB113" s="201"/>
      <c r="AC113" s="237"/>
      <c r="AD113" s="214"/>
      <c r="AG113" s="213"/>
      <c r="AH113" s="238"/>
    </row>
    <row r="114" spans="1:34" s="236" customFormat="1" ht="13.5">
      <c r="A114" s="329"/>
      <c r="B114" s="235" t="s">
        <v>303</v>
      </c>
      <c r="C114" s="330"/>
      <c r="D114" s="329"/>
      <c r="E114" s="328"/>
      <c r="F114" s="205"/>
      <c r="G114" s="328"/>
      <c r="H114" s="333"/>
      <c r="I114" s="328"/>
      <c r="J114" s="328"/>
      <c r="K114" s="328"/>
      <c r="L114" s="328"/>
      <c r="M114" s="328"/>
      <c r="N114" s="328"/>
      <c r="O114" s="328"/>
      <c r="P114" s="328"/>
      <c r="Q114" s="328"/>
      <c r="R114" s="328"/>
      <c r="S114" s="328"/>
      <c r="T114" s="328"/>
      <c r="U114" s="328"/>
      <c r="V114" s="332"/>
      <c r="W114" s="328"/>
      <c r="X114" s="333"/>
      <c r="AA114" s="201"/>
      <c r="AB114" s="201"/>
      <c r="AC114" s="237"/>
      <c r="AD114" s="214"/>
      <c r="AG114" s="213"/>
      <c r="AH114" s="238"/>
    </row>
    <row r="115" spans="1:34" s="236" customFormat="1" ht="13.5">
      <c r="A115" s="329"/>
      <c r="B115" s="239" t="s">
        <v>309</v>
      </c>
      <c r="C115" s="330"/>
      <c r="D115" s="329"/>
      <c r="E115" s="328"/>
      <c r="F115" s="205"/>
      <c r="G115" s="328"/>
      <c r="H115" s="333"/>
      <c r="I115" s="328"/>
      <c r="J115" s="328"/>
      <c r="K115" s="328"/>
      <c r="L115" s="328"/>
      <c r="M115" s="328"/>
      <c r="N115" s="328"/>
      <c r="O115" s="328"/>
      <c r="P115" s="328"/>
      <c r="Q115" s="328"/>
      <c r="R115" s="328"/>
      <c r="S115" s="328"/>
      <c r="T115" s="328"/>
      <c r="U115" s="328"/>
      <c r="V115" s="332"/>
      <c r="W115" s="328"/>
      <c r="X115" s="333"/>
      <c r="AA115" s="201"/>
      <c r="AB115" s="201"/>
      <c r="AC115" s="237"/>
      <c r="AD115" s="214"/>
      <c r="AG115" s="213"/>
      <c r="AH115" s="238"/>
    </row>
    <row r="116" spans="1:34" s="236" customFormat="1" ht="13.5">
      <c r="A116" s="329"/>
      <c r="B116" s="235" t="s">
        <v>310</v>
      </c>
      <c r="C116" s="330"/>
      <c r="D116" s="329"/>
      <c r="E116" s="328"/>
      <c r="F116" s="205"/>
      <c r="G116" s="328"/>
      <c r="H116" s="333"/>
      <c r="I116" s="328"/>
      <c r="J116" s="328"/>
      <c r="K116" s="328"/>
      <c r="L116" s="328"/>
      <c r="M116" s="328"/>
      <c r="N116" s="328"/>
      <c r="O116" s="328"/>
      <c r="P116" s="328"/>
      <c r="Q116" s="328"/>
      <c r="R116" s="328"/>
      <c r="S116" s="328"/>
      <c r="T116" s="328"/>
      <c r="U116" s="328"/>
      <c r="V116" s="332"/>
      <c r="W116" s="328"/>
      <c r="X116" s="333"/>
      <c r="AA116" s="201"/>
      <c r="AB116" s="201"/>
      <c r="AC116" s="237"/>
      <c r="AD116" s="214"/>
      <c r="AG116" s="213"/>
      <c r="AH116" s="238"/>
    </row>
    <row r="117" spans="1:34" s="236" customFormat="1" ht="13.5">
      <c r="A117" s="329"/>
      <c r="B117" s="235" t="s">
        <v>311</v>
      </c>
      <c r="C117" s="330"/>
      <c r="D117" s="329"/>
      <c r="E117" s="328"/>
      <c r="F117" s="205"/>
      <c r="G117" s="328"/>
      <c r="H117" s="333"/>
      <c r="I117" s="328"/>
      <c r="J117" s="328"/>
      <c r="K117" s="328"/>
      <c r="L117" s="328"/>
      <c r="M117" s="328"/>
      <c r="N117" s="328"/>
      <c r="O117" s="328"/>
      <c r="P117" s="328"/>
      <c r="Q117" s="328"/>
      <c r="R117" s="328"/>
      <c r="S117" s="328"/>
      <c r="T117" s="328"/>
      <c r="U117" s="328"/>
      <c r="V117" s="332"/>
      <c r="W117" s="328"/>
      <c r="X117" s="333"/>
      <c r="AA117" s="201"/>
      <c r="AB117" s="201"/>
      <c r="AC117" s="237"/>
      <c r="AD117" s="214"/>
      <c r="AG117" s="213"/>
      <c r="AH117" s="238"/>
    </row>
    <row r="118" spans="1:34" s="236" customFormat="1" ht="13.5">
      <c r="A118" s="329"/>
      <c r="B118" s="235" t="s">
        <v>312</v>
      </c>
      <c r="C118" s="330"/>
      <c r="D118" s="329"/>
      <c r="E118" s="328"/>
      <c r="F118" s="205"/>
      <c r="G118" s="328"/>
      <c r="H118" s="333"/>
      <c r="I118" s="328"/>
      <c r="J118" s="328"/>
      <c r="K118" s="328"/>
      <c r="L118" s="328"/>
      <c r="M118" s="328"/>
      <c r="N118" s="328"/>
      <c r="O118" s="328"/>
      <c r="P118" s="328"/>
      <c r="Q118" s="328"/>
      <c r="R118" s="328"/>
      <c r="S118" s="328"/>
      <c r="T118" s="328"/>
      <c r="U118" s="328"/>
      <c r="V118" s="332"/>
      <c r="W118" s="328"/>
      <c r="X118" s="333"/>
      <c r="AA118" s="201"/>
      <c r="AB118" s="201"/>
      <c r="AC118" s="237"/>
      <c r="AD118" s="214"/>
      <c r="AG118" s="213"/>
      <c r="AH118" s="238"/>
    </row>
    <row r="119" spans="1:34" s="236" customFormat="1" ht="13.5">
      <c r="A119" s="329"/>
      <c r="B119" s="235" t="s">
        <v>313</v>
      </c>
      <c r="C119" s="330"/>
      <c r="D119" s="329"/>
      <c r="E119" s="328"/>
      <c r="F119" s="205"/>
      <c r="G119" s="328"/>
      <c r="H119" s="333"/>
      <c r="I119" s="328"/>
      <c r="J119" s="328"/>
      <c r="K119" s="328"/>
      <c r="L119" s="328"/>
      <c r="M119" s="328"/>
      <c r="N119" s="328"/>
      <c r="O119" s="328"/>
      <c r="P119" s="328"/>
      <c r="Q119" s="328"/>
      <c r="R119" s="328"/>
      <c r="S119" s="328"/>
      <c r="T119" s="328"/>
      <c r="U119" s="328"/>
      <c r="V119" s="332"/>
      <c r="W119" s="328"/>
      <c r="X119" s="333"/>
      <c r="AA119" s="201"/>
      <c r="AB119" s="201"/>
      <c r="AC119" s="237"/>
      <c r="AD119" s="214"/>
      <c r="AG119" s="213"/>
      <c r="AH119" s="238"/>
    </row>
    <row r="120" spans="1:34" s="200" customFormat="1" ht="13.5">
      <c r="A120" s="329"/>
      <c r="B120" s="215" t="s">
        <v>378</v>
      </c>
      <c r="C120" s="330"/>
      <c r="D120" s="329"/>
      <c r="E120" s="328">
        <v>176253.596</v>
      </c>
      <c r="F120" s="205">
        <v>40074.745</v>
      </c>
      <c r="G120" s="328">
        <v>5048.936</v>
      </c>
      <c r="H120" s="333">
        <v>99.426</v>
      </c>
      <c r="I120" s="328">
        <v>4949.509999999999</v>
      </c>
      <c r="J120" s="328">
        <v>13611.782</v>
      </c>
      <c r="K120" s="328">
        <v>13577.552</v>
      </c>
      <c r="L120" s="328">
        <v>11208.475999999999</v>
      </c>
      <c r="M120" s="328">
        <v>2369.076</v>
      </c>
      <c r="N120" s="328">
        <v>0</v>
      </c>
      <c r="O120" s="328">
        <v>34.230000000000246</v>
      </c>
      <c r="P120" s="328">
        <v>44700</v>
      </c>
      <c r="Q120" s="328">
        <v>37367.785</v>
      </c>
      <c r="R120" s="328">
        <v>32419.413</v>
      </c>
      <c r="S120" s="328">
        <v>4948.372</v>
      </c>
      <c r="T120" s="328">
        <v>4345.781999999999</v>
      </c>
      <c r="U120" s="328">
        <v>2986.432999999999</v>
      </c>
      <c r="V120" s="332">
        <v>48577.399</v>
      </c>
      <c r="W120" s="328">
        <v>7317.448000000001</v>
      </c>
      <c r="X120" s="333">
        <v>90920.656</v>
      </c>
      <c r="AA120" s="201"/>
      <c r="AB120" s="201"/>
      <c r="AC120" s="202"/>
      <c r="AD120" s="214"/>
      <c r="AG120" s="203"/>
      <c r="AH120" s="204"/>
    </row>
    <row r="121" spans="1:34" s="236" customFormat="1" ht="13.5">
      <c r="A121" s="329"/>
      <c r="B121" s="235" t="s">
        <v>299</v>
      </c>
      <c r="C121" s="330"/>
      <c r="D121" s="329"/>
      <c r="E121" s="328">
        <v>32891.08</v>
      </c>
      <c r="F121" s="205">
        <v>1901.279</v>
      </c>
      <c r="G121" s="328">
        <v>94.512</v>
      </c>
      <c r="H121" s="333">
        <v>94.512</v>
      </c>
      <c r="I121" s="328">
        <v>0</v>
      </c>
      <c r="J121" s="328">
        <v>650</v>
      </c>
      <c r="K121" s="328">
        <v>650</v>
      </c>
      <c r="L121" s="328">
        <v>650</v>
      </c>
      <c r="M121" s="328">
        <v>0</v>
      </c>
      <c r="N121" s="328">
        <v>0</v>
      </c>
      <c r="O121" s="328">
        <v>0</v>
      </c>
      <c r="P121" s="328">
        <v>1310</v>
      </c>
      <c r="Q121" s="328">
        <v>913.357</v>
      </c>
      <c r="R121" s="328">
        <v>913.357</v>
      </c>
      <c r="S121" s="328">
        <v>0</v>
      </c>
      <c r="T121" s="328">
        <v>0</v>
      </c>
      <c r="U121" s="328">
        <v>396.64300000000003</v>
      </c>
      <c r="V121" s="332">
        <v>1563.357</v>
      </c>
      <c r="W121" s="328">
        <v>0</v>
      </c>
      <c r="X121" s="333">
        <v>3370.124</v>
      </c>
      <c r="AA121" s="201"/>
      <c r="AB121" s="201"/>
      <c r="AC121" s="237"/>
      <c r="AD121" s="214"/>
      <c r="AG121" s="213"/>
      <c r="AH121" s="238"/>
    </row>
    <row r="122" spans="1:34" s="200" customFormat="1" ht="27">
      <c r="A122" s="329">
        <v>59</v>
      </c>
      <c r="B122" s="240" t="s">
        <v>379</v>
      </c>
      <c r="C122" s="329" t="s">
        <v>380</v>
      </c>
      <c r="D122" s="261">
        <v>7561462</v>
      </c>
      <c r="E122" s="231">
        <v>12404</v>
      </c>
      <c r="F122" s="232">
        <v>339.243</v>
      </c>
      <c r="G122" s="231">
        <v>0</v>
      </c>
      <c r="H122" s="233">
        <v>0</v>
      </c>
      <c r="I122" s="231">
        <v>0</v>
      </c>
      <c r="J122" s="328"/>
      <c r="K122" s="328"/>
      <c r="L122" s="328"/>
      <c r="M122" s="328"/>
      <c r="N122" s="328"/>
      <c r="O122" s="231">
        <v>0</v>
      </c>
      <c r="P122" s="231">
        <v>1205</v>
      </c>
      <c r="Q122" s="231">
        <v>813.036</v>
      </c>
      <c r="R122" s="231">
        <v>813.036</v>
      </c>
      <c r="S122" s="328"/>
      <c r="T122" s="328"/>
      <c r="U122" s="231">
        <v>391.96400000000006</v>
      </c>
      <c r="V122" s="234">
        <v>813.036</v>
      </c>
      <c r="W122" s="231">
        <v>0</v>
      </c>
      <c r="X122" s="233">
        <v>1152.279</v>
      </c>
      <c r="Y122" s="200">
        <v>0</v>
      </c>
      <c r="Z122" s="200">
        <v>813.036</v>
      </c>
      <c r="AA122" s="242" t="e">
        <f>INDEX('[3]TONG HOP'!#REF!,MATCH(D122,'[3]TONG HOP'!$L$31:$L$400,0),337)+INDEX('[3]TONG HOP'!#REF!,MATCH(D122,'[3]TONG HOP'!$L$31:$L$400,0),338)</f>
        <v>#REF!</v>
      </c>
      <c r="AB122" s="242" t="e">
        <f>INDEX('[3]TONG HOP'!#REF!,MATCH(D122,'[3]TONG HOP'!$L$31:$L$400,0),367)</f>
        <v>#REF!</v>
      </c>
      <c r="AC122" s="246" t="e">
        <f>INDEX('[3]TONG HOP'!#REF!,MATCH(D122,'[3]TONG HOP'!$L$31:$L$400,0),364)</f>
        <v>#REF!</v>
      </c>
      <c r="AD122" s="242" t="e">
        <f>INDEX('[3]TONG HOP'!#REF!,MATCH(D122,'[3]TONG HOP'!$L$31:$L$400,0),4)</f>
        <v>#REF!</v>
      </c>
      <c r="AE122" s="245">
        <f>INDEX('[4]BIeu 03KBQT'!$A$11:$X$178,MATCH(D122,'[4]BIeu 03KBQT'!$D$11:$D$178,0),6)/1000000</f>
        <v>339.243</v>
      </c>
      <c r="AF122" s="244">
        <f>AE122-F122</f>
        <v>0</v>
      </c>
      <c r="AG122" s="203">
        <f>INDEX('[4]BIeu 03KBQT'!$A$11:$X$178,MATCH(D122,'[4]BIeu 03KBQT'!$D$11:$D$178,0),24)/1000000</f>
        <v>1152.279</v>
      </c>
      <c r="AH122" s="204">
        <f aca="true" t="shared" si="3" ref="AH122:AH136">AG122-X122</f>
        <v>0</v>
      </c>
    </row>
    <row r="123" spans="1:34" s="200" customFormat="1" ht="13.5">
      <c r="A123" s="329">
        <v>60</v>
      </c>
      <c r="B123" s="240" t="s">
        <v>381</v>
      </c>
      <c r="C123" s="329" t="s">
        <v>305</v>
      </c>
      <c r="D123" s="261">
        <v>7564452</v>
      </c>
      <c r="E123" s="231">
        <v>2167.08</v>
      </c>
      <c r="F123" s="232">
        <v>1250</v>
      </c>
      <c r="G123" s="231">
        <v>0</v>
      </c>
      <c r="H123" s="233">
        <v>0</v>
      </c>
      <c r="I123" s="231">
        <v>0</v>
      </c>
      <c r="J123" s="231">
        <v>650</v>
      </c>
      <c r="K123" s="231">
        <v>650</v>
      </c>
      <c r="L123" s="231">
        <v>650</v>
      </c>
      <c r="M123" s="328"/>
      <c r="N123" s="328"/>
      <c r="O123" s="231">
        <v>0</v>
      </c>
      <c r="P123" s="231">
        <v>105</v>
      </c>
      <c r="Q123" s="231">
        <v>100.32100000000003</v>
      </c>
      <c r="R123" s="231">
        <v>100.32100000000003</v>
      </c>
      <c r="S123" s="328"/>
      <c r="T123" s="328"/>
      <c r="U123" s="231">
        <v>4.678999999999974</v>
      </c>
      <c r="V123" s="234">
        <v>750.321</v>
      </c>
      <c r="W123" s="231">
        <v>0</v>
      </c>
      <c r="X123" s="233">
        <v>2000.321</v>
      </c>
      <c r="Y123" s="200">
        <v>0</v>
      </c>
      <c r="Z123" s="200">
        <v>750.321</v>
      </c>
      <c r="AA123" s="242" t="e">
        <f>INDEX('[3]TONG HOP'!#REF!,MATCH(D123,'[3]TONG HOP'!$L$31:$L$400,0),337)+INDEX('[3]TONG HOP'!#REF!,MATCH(D123,'[3]TONG HOP'!$L$31:$L$400,0),338)</f>
        <v>#REF!</v>
      </c>
      <c r="AB123" s="242" t="e">
        <f>INDEX('[3]TONG HOP'!#REF!,MATCH(D123,'[3]TONG HOP'!$L$31:$L$400,0),367)</f>
        <v>#REF!</v>
      </c>
      <c r="AC123" s="246" t="e">
        <f>INDEX('[3]TONG HOP'!#REF!,MATCH(D123,'[3]TONG HOP'!$L$31:$L$400,0),364)</f>
        <v>#REF!</v>
      </c>
      <c r="AD123" s="242" t="e">
        <f>INDEX('[3]TONG HOP'!#REF!,MATCH(D123,'[3]TONG HOP'!$L$31:$L$400,0),4)</f>
        <v>#REF!</v>
      </c>
      <c r="AE123" s="245">
        <f>INDEX('[4]BIeu 03KBQT'!$A$11:$X$178,MATCH(D123,'[4]BIeu 03KBQT'!$D$11:$D$178,0),6)/1000000</f>
        <v>1250</v>
      </c>
      <c r="AF123" s="244">
        <f aca="true" t="shared" si="4" ref="AF123:AF136">AE123-F123</f>
        <v>0</v>
      </c>
      <c r="AG123" s="203">
        <f>INDEX('[4]BIeu 03KBQT'!$A$11:$X$178,MATCH(D123,'[4]BIeu 03KBQT'!$D$11:$D$178,0),24)/1000000</f>
        <v>2000.321</v>
      </c>
      <c r="AH123" s="204">
        <f t="shared" si="3"/>
        <v>0</v>
      </c>
    </row>
    <row r="124" spans="1:34" s="200" customFormat="1" ht="13.5">
      <c r="A124" s="329">
        <v>61</v>
      </c>
      <c r="B124" s="240" t="e">
        <f>INDEX('[3]TONG HOP'!#REF!,MATCH(D124,'[3]TONG HOP'!$L$31:$L$400,0),3)</f>
        <v>#REF!</v>
      </c>
      <c r="C124" s="329" t="e">
        <f>INDEX('[3]TONG HOP'!#REF!,MATCH(D124,'[3]TONG HOP'!$L$31:$L$400,0),8)</f>
        <v>#REF!</v>
      </c>
      <c r="D124" s="262">
        <v>7482252</v>
      </c>
      <c r="E124" s="231">
        <v>18320</v>
      </c>
      <c r="F124" s="232">
        <v>312.036</v>
      </c>
      <c r="G124" s="231">
        <v>94.512</v>
      </c>
      <c r="H124" s="233">
        <v>94.512</v>
      </c>
      <c r="I124" s="231">
        <v>0</v>
      </c>
      <c r="J124" s="231"/>
      <c r="K124" s="231"/>
      <c r="L124" s="231"/>
      <c r="M124" s="328"/>
      <c r="N124" s="328"/>
      <c r="O124" s="231">
        <v>0</v>
      </c>
      <c r="P124" s="231"/>
      <c r="Q124" s="231"/>
      <c r="R124" s="231"/>
      <c r="S124" s="328"/>
      <c r="T124" s="328"/>
      <c r="U124" s="231">
        <v>0</v>
      </c>
      <c r="V124" s="234">
        <v>0</v>
      </c>
      <c r="W124" s="231">
        <v>0</v>
      </c>
      <c r="X124" s="233">
        <v>217.524</v>
      </c>
      <c r="AA124" s="242" t="e">
        <f>INDEX('[3]TONG HOP'!#REF!,MATCH(D124,'[3]TONG HOP'!$L$31:$L$400,0),337)+INDEX('[3]TONG HOP'!#REF!,MATCH(D124,'[3]TONG HOP'!$L$31:$L$400,0),338)</f>
        <v>#REF!</v>
      </c>
      <c r="AB124" s="242" t="e">
        <f>INDEX('[3]TONG HOP'!#REF!,MATCH(D124,'[3]TONG HOP'!$L$31:$L$400,0),367)</f>
        <v>#REF!</v>
      </c>
      <c r="AC124" s="246" t="e">
        <f>INDEX('[3]TONG HOP'!#REF!,MATCH(D124,'[3]TONG HOP'!$L$31:$L$400,0),364)</f>
        <v>#REF!</v>
      </c>
      <c r="AD124" s="242" t="e">
        <f>INDEX('[3]TONG HOP'!#REF!,MATCH(D124,'[3]TONG HOP'!$L$31:$L$400,0),4)</f>
        <v>#REF!</v>
      </c>
      <c r="AE124" s="245">
        <f>INDEX('[4]BIeu 03KBQT'!$A$11:$X$178,MATCH(D124,'[4]BIeu 03KBQT'!$D$11:$D$178,0),6)/1000000</f>
        <v>217.524</v>
      </c>
      <c r="AF124" s="244">
        <f t="shared" si="4"/>
        <v>-94.512</v>
      </c>
      <c r="AG124" s="203">
        <f>INDEX('[4]BIeu 03KBQT'!$A$11:$X$178,MATCH(D124,'[4]BIeu 03KBQT'!$D$11:$D$178,0),24)/1000000</f>
        <v>217.524</v>
      </c>
      <c r="AH124" s="204">
        <f t="shared" si="3"/>
        <v>0</v>
      </c>
    </row>
    <row r="125" spans="1:34" s="236" customFormat="1" ht="13.5">
      <c r="A125" s="329"/>
      <c r="B125" s="235" t="s">
        <v>300</v>
      </c>
      <c r="C125" s="330"/>
      <c r="D125" s="241"/>
      <c r="E125" s="328">
        <v>40401</v>
      </c>
      <c r="F125" s="205">
        <v>26234.724000000002</v>
      </c>
      <c r="G125" s="328">
        <v>2129.097</v>
      </c>
      <c r="H125" s="333">
        <v>4.914</v>
      </c>
      <c r="I125" s="328">
        <v>2124.1829999999995</v>
      </c>
      <c r="J125" s="328">
        <v>620</v>
      </c>
      <c r="K125" s="328">
        <v>620</v>
      </c>
      <c r="L125" s="328">
        <v>620</v>
      </c>
      <c r="M125" s="328">
        <v>0</v>
      </c>
      <c r="N125" s="328">
        <v>0</v>
      </c>
      <c r="O125" s="328">
        <v>0</v>
      </c>
      <c r="P125" s="328">
        <v>85</v>
      </c>
      <c r="Q125" s="328">
        <v>75.59500000000003</v>
      </c>
      <c r="R125" s="328">
        <v>75.59500000000003</v>
      </c>
      <c r="S125" s="328">
        <v>0</v>
      </c>
      <c r="T125" s="328">
        <v>0</v>
      </c>
      <c r="U125" s="328">
        <v>9.404999999999973</v>
      </c>
      <c r="V125" s="332">
        <v>2819.7779999999993</v>
      </c>
      <c r="W125" s="328">
        <v>4.547473508864641E-13</v>
      </c>
      <c r="X125" s="333">
        <v>26925.405000000002</v>
      </c>
      <c r="AA125" s="201"/>
      <c r="AB125" s="201"/>
      <c r="AC125" s="237"/>
      <c r="AD125" s="214"/>
      <c r="AG125" s="213"/>
      <c r="AH125" s="238"/>
    </row>
    <row r="126" spans="1:34" s="200" customFormat="1" ht="27">
      <c r="A126" s="329">
        <v>62</v>
      </c>
      <c r="B126" s="240" t="s">
        <v>382</v>
      </c>
      <c r="C126" s="329" t="s">
        <v>305</v>
      </c>
      <c r="D126" s="241">
        <v>7410845</v>
      </c>
      <c r="E126" s="231">
        <v>40401</v>
      </c>
      <c r="F126" s="232">
        <v>26234.724000000002</v>
      </c>
      <c r="G126" s="231">
        <v>2129.097</v>
      </c>
      <c r="H126" s="233">
        <v>4.914</v>
      </c>
      <c r="I126" s="231">
        <v>2124.1829999999995</v>
      </c>
      <c r="J126" s="231">
        <v>620</v>
      </c>
      <c r="K126" s="231">
        <v>620</v>
      </c>
      <c r="L126" s="231">
        <v>620</v>
      </c>
      <c r="M126" s="328"/>
      <c r="N126" s="328"/>
      <c r="O126" s="231">
        <v>0</v>
      </c>
      <c r="P126" s="231">
        <v>85</v>
      </c>
      <c r="Q126" s="231">
        <v>75.59500000000003</v>
      </c>
      <c r="R126" s="231">
        <v>75.59500000000003</v>
      </c>
      <c r="S126" s="328"/>
      <c r="T126" s="328"/>
      <c r="U126" s="231">
        <v>9.404999999999973</v>
      </c>
      <c r="V126" s="234">
        <v>2819.7779999999993</v>
      </c>
      <c r="W126" s="231">
        <v>4.547473508864641E-13</v>
      </c>
      <c r="X126" s="233">
        <v>26925.405000000002</v>
      </c>
      <c r="Y126" s="200">
        <v>0</v>
      </c>
      <c r="Z126" s="200">
        <v>695.595</v>
      </c>
      <c r="AA126" s="242" t="e">
        <f>INDEX('[3]TONG HOP'!#REF!,MATCH(D126,'[3]TONG HOP'!$L$31:$L$400,0),337)+INDEX('[3]TONG HOP'!#REF!,MATCH(D126,'[3]TONG HOP'!$L$31:$L$400,0),338)</f>
        <v>#REF!</v>
      </c>
      <c r="AB126" s="242" t="e">
        <f>INDEX('[3]TONG HOP'!#REF!,MATCH(D126,'[3]TONG HOP'!$L$31:$L$400,0),367)</f>
        <v>#REF!</v>
      </c>
      <c r="AC126" s="246" t="e">
        <f>INDEX('[3]TONG HOP'!#REF!,MATCH(D126,'[3]TONG HOP'!$L$31:$L$400,0),364)</f>
        <v>#REF!</v>
      </c>
      <c r="AD126" s="242" t="e">
        <f>INDEX('[3]TONG HOP'!#REF!,MATCH(D126,'[3]TONG HOP'!$L$31:$L$400,0),4)</f>
        <v>#REF!</v>
      </c>
      <c r="AE126" s="245">
        <f>INDEX('[4]BIeu 03KBQT'!$A$11:$X$178,MATCH(D126,'[4]BIeu 03KBQT'!$D$11:$D$178,0),6)/1000000</f>
        <v>26229.81</v>
      </c>
      <c r="AF126" s="244">
        <f>AE126-F126</f>
        <v>-4.914000000000669</v>
      </c>
      <c r="AG126" s="203">
        <f>INDEX('[4]BIeu 03KBQT'!$A$11:$X$178,MATCH(D126,'[4]BIeu 03KBQT'!$D$11:$D$178,0),24)/1000000</f>
        <v>26925.405</v>
      </c>
      <c r="AH126" s="204">
        <f t="shared" si="3"/>
        <v>0</v>
      </c>
    </row>
    <row r="127" spans="1:34" s="236" customFormat="1" ht="13.5">
      <c r="A127" s="329"/>
      <c r="B127" s="235" t="s">
        <v>301</v>
      </c>
      <c r="C127" s="330"/>
      <c r="D127" s="241"/>
      <c r="E127" s="328">
        <v>22746.149</v>
      </c>
      <c r="F127" s="205">
        <v>165.506</v>
      </c>
      <c r="G127" s="328">
        <v>0</v>
      </c>
      <c r="H127" s="333">
        <v>0</v>
      </c>
      <c r="I127" s="328">
        <v>0</v>
      </c>
      <c r="J127" s="328">
        <v>0</v>
      </c>
      <c r="K127" s="328">
        <v>0</v>
      </c>
      <c r="L127" s="328">
        <v>0</v>
      </c>
      <c r="M127" s="328">
        <v>0</v>
      </c>
      <c r="N127" s="328">
        <v>0</v>
      </c>
      <c r="O127" s="328">
        <v>0</v>
      </c>
      <c r="P127" s="328">
        <v>13000</v>
      </c>
      <c r="Q127" s="328">
        <v>12636.118</v>
      </c>
      <c r="R127" s="328">
        <v>9512.914</v>
      </c>
      <c r="S127" s="328">
        <v>3123.204</v>
      </c>
      <c r="T127" s="328">
        <v>0</v>
      </c>
      <c r="U127" s="328">
        <v>363.8819999999996</v>
      </c>
      <c r="V127" s="332">
        <v>9512.914</v>
      </c>
      <c r="W127" s="328">
        <v>3123.204</v>
      </c>
      <c r="X127" s="333">
        <v>12801.624</v>
      </c>
      <c r="AA127" s="201"/>
      <c r="AB127" s="201"/>
      <c r="AC127" s="237"/>
      <c r="AD127" s="214"/>
      <c r="AG127" s="213"/>
      <c r="AH127" s="238"/>
    </row>
    <row r="128" spans="1:34" s="200" customFormat="1" ht="13.5">
      <c r="A128" s="329">
        <v>63</v>
      </c>
      <c r="B128" s="240" t="s">
        <v>383</v>
      </c>
      <c r="C128" s="329" t="s">
        <v>305</v>
      </c>
      <c r="D128" s="241">
        <v>7553805</v>
      </c>
      <c r="E128" s="231">
        <v>22746.149</v>
      </c>
      <c r="F128" s="232">
        <v>165.506</v>
      </c>
      <c r="G128" s="231">
        <v>0</v>
      </c>
      <c r="H128" s="233">
        <v>0</v>
      </c>
      <c r="I128" s="231">
        <v>0</v>
      </c>
      <c r="J128" s="328"/>
      <c r="K128" s="328"/>
      <c r="L128" s="328"/>
      <c r="M128" s="328"/>
      <c r="N128" s="328"/>
      <c r="O128" s="231">
        <v>0</v>
      </c>
      <c r="P128" s="231">
        <v>13000</v>
      </c>
      <c r="Q128" s="231">
        <v>12636.118</v>
      </c>
      <c r="R128" s="231">
        <v>9512.914</v>
      </c>
      <c r="S128" s="231">
        <v>3123.204</v>
      </c>
      <c r="T128" s="328"/>
      <c r="U128" s="231">
        <v>363.8819999999996</v>
      </c>
      <c r="V128" s="234">
        <v>9512.914</v>
      </c>
      <c r="W128" s="231">
        <v>3123.204</v>
      </c>
      <c r="X128" s="233">
        <v>12801.624</v>
      </c>
      <c r="Y128" s="200">
        <v>3123.204</v>
      </c>
      <c r="Z128" s="200">
        <v>12636.118</v>
      </c>
      <c r="AA128" s="242" t="e">
        <f>INDEX('[3]TONG HOP'!#REF!,MATCH(D128,'[3]TONG HOP'!$L$31:$L$400,0),337)+INDEX('[3]TONG HOP'!#REF!,MATCH(D128,'[3]TONG HOP'!$L$31:$L$400,0),338)</f>
        <v>#REF!</v>
      </c>
      <c r="AB128" s="242" t="e">
        <f>INDEX('[3]TONG HOP'!#REF!,MATCH(D128,'[3]TONG HOP'!$L$31:$L$400,0),367)</f>
        <v>#REF!</v>
      </c>
      <c r="AC128" s="246" t="e">
        <f>INDEX('[3]TONG HOP'!#REF!,MATCH(D128,'[3]TONG HOP'!$L$31:$L$400,0),364)</f>
        <v>#REF!</v>
      </c>
      <c r="AD128" s="242" t="e">
        <f>INDEX('[3]TONG HOP'!#REF!,MATCH(D128,'[3]TONG HOP'!$L$31:$L$400,0),4)</f>
        <v>#REF!</v>
      </c>
      <c r="AE128" s="245">
        <f>INDEX('[4]BIeu 03KBQT'!$A$11:$X$178,MATCH(D128,'[4]BIeu 03KBQT'!$D$11:$D$178,0),6)/1000000</f>
        <v>165.506</v>
      </c>
      <c r="AF128" s="244">
        <f t="shared" si="4"/>
        <v>0</v>
      </c>
      <c r="AG128" s="203">
        <f>INDEX('[4]BIeu 03KBQT'!$A$11:$X$178,MATCH(D128,'[4]BIeu 03KBQT'!$D$11:$D$178,0),24)/1000000</f>
        <v>12801.624</v>
      </c>
      <c r="AH128" s="204">
        <f t="shared" si="3"/>
        <v>0</v>
      </c>
    </row>
    <row r="129" spans="1:34" s="236" customFormat="1" ht="13.5">
      <c r="A129" s="329"/>
      <c r="B129" s="239" t="s">
        <v>302</v>
      </c>
      <c r="C129" s="330"/>
      <c r="D129" s="329"/>
      <c r="E129" s="328">
        <v>5959.481</v>
      </c>
      <c r="F129" s="205">
        <v>2319.039</v>
      </c>
      <c r="G129" s="328">
        <v>672.667</v>
      </c>
      <c r="H129" s="333">
        <v>0</v>
      </c>
      <c r="I129" s="328">
        <v>672.667</v>
      </c>
      <c r="J129" s="328">
        <v>681</v>
      </c>
      <c r="K129" s="328">
        <v>647.655</v>
      </c>
      <c r="L129" s="328">
        <v>647.655</v>
      </c>
      <c r="M129" s="328">
        <v>0</v>
      </c>
      <c r="N129" s="328">
        <v>0</v>
      </c>
      <c r="O129" s="328">
        <v>33.34500000000003</v>
      </c>
      <c r="P129" s="328">
        <v>2113</v>
      </c>
      <c r="Q129" s="328">
        <v>2112.569</v>
      </c>
      <c r="R129" s="328">
        <v>2112.569</v>
      </c>
      <c r="S129" s="328">
        <v>0</v>
      </c>
      <c r="T129" s="328">
        <v>0</v>
      </c>
      <c r="U129" s="328">
        <v>0.43100000000004</v>
      </c>
      <c r="V129" s="332">
        <v>3432.8909999999996</v>
      </c>
      <c r="W129" s="328">
        <v>0</v>
      </c>
      <c r="X129" s="333">
        <v>5079.263</v>
      </c>
      <c r="AA129" s="201"/>
      <c r="AB129" s="201"/>
      <c r="AC129" s="237"/>
      <c r="AD129" s="214"/>
      <c r="AG129" s="213"/>
      <c r="AH129" s="238"/>
    </row>
    <row r="130" spans="1:34" s="200" customFormat="1" ht="40.5">
      <c r="A130" s="329">
        <v>64</v>
      </c>
      <c r="B130" s="240" t="s">
        <v>384</v>
      </c>
      <c r="C130" s="329" t="s">
        <v>305</v>
      </c>
      <c r="D130" s="241">
        <v>7567689</v>
      </c>
      <c r="E130" s="231">
        <v>5174.481</v>
      </c>
      <c r="F130" s="232">
        <v>2288.929</v>
      </c>
      <c r="G130" s="231">
        <v>672.667</v>
      </c>
      <c r="H130" s="233">
        <v>0</v>
      </c>
      <c r="I130" s="231">
        <v>672.667</v>
      </c>
      <c r="J130" s="328"/>
      <c r="K130" s="328"/>
      <c r="L130" s="328"/>
      <c r="M130" s="328"/>
      <c r="N130" s="328"/>
      <c r="O130" s="231">
        <v>0</v>
      </c>
      <c r="P130" s="231">
        <v>2113</v>
      </c>
      <c r="Q130" s="231">
        <v>2112.569</v>
      </c>
      <c r="R130" s="231">
        <v>2112.569</v>
      </c>
      <c r="S130" s="328"/>
      <c r="T130" s="328"/>
      <c r="U130" s="231">
        <v>0.43100000000004</v>
      </c>
      <c r="V130" s="234">
        <v>2785.236</v>
      </c>
      <c r="W130" s="231">
        <v>0</v>
      </c>
      <c r="X130" s="233">
        <v>4401.498</v>
      </c>
      <c r="Y130" s="200">
        <v>0</v>
      </c>
      <c r="Z130" s="200">
        <v>2112.569</v>
      </c>
      <c r="AA130" s="242" t="e">
        <f>INDEX('[3]TONG HOP'!#REF!,MATCH(D130,'[3]TONG HOP'!$L$31:$L$400,0),337)+INDEX('[3]TONG HOP'!#REF!,MATCH(D130,'[3]TONG HOP'!$L$31:$L$400,0),338)</f>
        <v>#REF!</v>
      </c>
      <c r="AB130" s="242" t="e">
        <f>INDEX('[3]TONG HOP'!#REF!,MATCH(D130,'[3]TONG HOP'!$L$31:$L$400,0),367)</f>
        <v>#REF!</v>
      </c>
      <c r="AC130" s="246" t="e">
        <f>INDEX('[3]TONG HOP'!#REF!,MATCH(D130,'[3]TONG HOP'!$L$31:$L$400,0),364)</f>
        <v>#REF!</v>
      </c>
      <c r="AD130" s="242" t="e">
        <f>INDEX('[3]TONG HOP'!#REF!,MATCH(D130,'[3]TONG HOP'!$L$31:$L$400,0),4)</f>
        <v>#REF!</v>
      </c>
      <c r="AE130" s="245">
        <f>INDEX('[4]BIeu 03KBQT'!$A$11:$X$178,MATCH(D130,'[4]BIeu 03KBQT'!$D$11:$D$178,0),6)/1000000</f>
        <v>2288.929</v>
      </c>
      <c r="AF130" s="244">
        <f t="shared" si="4"/>
        <v>0</v>
      </c>
      <c r="AG130" s="203">
        <f>INDEX('[4]BIeu 03KBQT'!$A$11:$X$178,MATCH(D130,'[4]BIeu 03KBQT'!$D$11:$D$178,0),24)/1000000</f>
        <v>4401.498</v>
      </c>
      <c r="AH130" s="204">
        <f t="shared" si="3"/>
        <v>0</v>
      </c>
    </row>
    <row r="131" spans="1:34" s="200" customFormat="1" ht="13.5">
      <c r="A131" s="329">
        <v>65</v>
      </c>
      <c r="B131" s="240" t="s">
        <v>385</v>
      </c>
      <c r="C131" s="329" t="s">
        <v>305</v>
      </c>
      <c r="D131" s="241">
        <v>7588370</v>
      </c>
      <c r="E131" s="231">
        <v>785</v>
      </c>
      <c r="F131" s="232">
        <v>30.11</v>
      </c>
      <c r="G131" s="231">
        <v>0</v>
      </c>
      <c r="H131" s="233">
        <v>0</v>
      </c>
      <c r="I131" s="231">
        <v>0</v>
      </c>
      <c r="J131" s="231">
        <v>681</v>
      </c>
      <c r="K131" s="231">
        <v>647.655</v>
      </c>
      <c r="L131" s="231">
        <v>647.655</v>
      </c>
      <c r="M131" s="328"/>
      <c r="N131" s="328"/>
      <c r="O131" s="231">
        <v>33.34500000000003</v>
      </c>
      <c r="P131" s="231"/>
      <c r="Q131" s="231"/>
      <c r="R131" s="328"/>
      <c r="S131" s="328"/>
      <c r="T131" s="328"/>
      <c r="U131" s="231">
        <v>0</v>
      </c>
      <c r="V131" s="234">
        <v>647.655</v>
      </c>
      <c r="W131" s="231">
        <v>0</v>
      </c>
      <c r="X131" s="233">
        <v>677.765</v>
      </c>
      <c r="Y131" s="200">
        <v>0</v>
      </c>
      <c r="Z131" s="200">
        <v>647.655</v>
      </c>
      <c r="AA131" s="242" t="e">
        <f>INDEX('[3]TONG HOP'!#REF!,MATCH(D131,'[3]TONG HOP'!$L$31:$L$400,0),337)+INDEX('[3]TONG HOP'!#REF!,MATCH(D131,'[3]TONG HOP'!$L$31:$L$400,0),338)</f>
        <v>#REF!</v>
      </c>
      <c r="AB131" s="242" t="e">
        <f>INDEX('[3]TONG HOP'!#REF!,MATCH(D131,'[3]TONG HOP'!$L$31:$L$400,0),367)</f>
        <v>#REF!</v>
      </c>
      <c r="AC131" s="246" t="e">
        <f>INDEX('[3]TONG HOP'!#REF!,MATCH(D131,'[3]TONG HOP'!$L$31:$L$400,0),364)</f>
        <v>#REF!</v>
      </c>
      <c r="AD131" s="242" t="e">
        <f>INDEX('[3]TONG HOP'!#REF!,MATCH(D131,'[3]TONG HOP'!$L$31:$L$400,0),4)</f>
        <v>#REF!</v>
      </c>
      <c r="AE131" s="245">
        <f>INDEX('[4]BIeu 03KBQT'!$A$11:$X$178,MATCH(D131,'[4]BIeu 03KBQT'!$D$11:$D$178,0),6)/1000000</f>
        <v>30.11</v>
      </c>
      <c r="AF131" s="244">
        <f t="shared" si="4"/>
        <v>0</v>
      </c>
      <c r="AG131" s="203">
        <f>INDEX('[4]BIeu 03KBQT'!$A$11:$X$178,MATCH(D131,'[4]BIeu 03KBQT'!$D$11:$D$178,0),24)/1000000</f>
        <v>677.765</v>
      </c>
      <c r="AH131" s="204">
        <f t="shared" si="3"/>
        <v>0</v>
      </c>
    </row>
    <row r="132" spans="1:34" s="236" customFormat="1" ht="13.5">
      <c r="A132" s="329"/>
      <c r="B132" s="235" t="s">
        <v>303</v>
      </c>
      <c r="C132" s="330"/>
      <c r="D132" s="329"/>
      <c r="E132" s="328">
        <v>60268.173</v>
      </c>
      <c r="F132" s="205">
        <v>9454.197</v>
      </c>
      <c r="G132" s="328">
        <v>2152.66</v>
      </c>
      <c r="H132" s="333">
        <v>0</v>
      </c>
      <c r="I132" s="328">
        <v>2152.66</v>
      </c>
      <c r="J132" s="328">
        <v>8660.782</v>
      </c>
      <c r="K132" s="328">
        <v>8660.782</v>
      </c>
      <c r="L132" s="328">
        <v>8660.782</v>
      </c>
      <c r="M132" s="328">
        <v>0</v>
      </c>
      <c r="N132" s="328">
        <v>0</v>
      </c>
      <c r="O132" s="328">
        <v>0</v>
      </c>
      <c r="P132" s="328">
        <v>23946.218</v>
      </c>
      <c r="Q132" s="328">
        <v>21630.146</v>
      </c>
      <c r="R132" s="328">
        <v>19804.978</v>
      </c>
      <c r="S132" s="328">
        <v>1825.1680000000001</v>
      </c>
      <c r="T132" s="328">
        <v>100</v>
      </c>
      <c r="U132" s="328">
        <v>2216.0719999999997</v>
      </c>
      <c r="V132" s="332">
        <v>30618.420000000002</v>
      </c>
      <c r="W132" s="328">
        <v>1825.1680000000001</v>
      </c>
      <c r="X132" s="333">
        <v>39745.125</v>
      </c>
      <c r="AA132" s="201"/>
      <c r="AB132" s="201"/>
      <c r="AC132" s="237"/>
      <c r="AD132" s="214"/>
      <c r="AG132" s="213"/>
      <c r="AH132" s="238"/>
    </row>
    <row r="133" spans="1:34" s="200" customFormat="1" ht="13.5">
      <c r="A133" s="329">
        <v>66</v>
      </c>
      <c r="B133" s="240" t="s">
        <v>386</v>
      </c>
      <c r="C133" s="329" t="s">
        <v>305</v>
      </c>
      <c r="D133" s="241">
        <v>7477364</v>
      </c>
      <c r="E133" s="231">
        <v>25796</v>
      </c>
      <c r="F133" s="232">
        <v>9152.571</v>
      </c>
      <c r="G133" s="231">
        <v>2152.66</v>
      </c>
      <c r="H133" s="233">
        <v>0</v>
      </c>
      <c r="I133" s="231">
        <v>2152.66</v>
      </c>
      <c r="J133" s="231"/>
      <c r="K133" s="231"/>
      <c r="L133" s="328"/>
      <c r="M133" s="328"/>
      <c r="N133" s="328"/>
      <c r="O133" s="231">
        <v>0</v>
      </c>
      <c r="P133" s="231">
        <v>5550</v>
      </c>
      <c r="Q133" s="231">
        <v>4684.155</v>
      </c>
      <c r="R133" s="231">
        <v>4625.992</v>
      </c>
      <c r="S133" s="231">
        <v>58.163</v>
      </c>
      <c r="T133" s="328"/>
      <c r="U133" s="231">
        <v>865.8450000000003</v>
      </c>
      <c r="V133" s="234">
        <v>6778.652</v>
      </c>
      <c r="W133" s="231">
        <v>58.163</v>
      </c>
      <c r="X133" s="233">
        <v>13836.725999999999</v>
      </c>
      <c r="Y133" s="200">
        <v>58.163</v>
      </c>
      <c r="Z133" s="200">
        <v>4684.155</v>
      </c>
      <c r="AA133" s="242" t="e">
        <f>INDEX('[3]TONG HOP'!#REF!,MATCH(D133,'[3]TONG HOP'!$L$31:$L$400,0),337)+INDEX('[3]TONG HOP'!#REF!,MATCH(D133,'[3]TONG HOP'!$L$31:$L$400,0),338)</f>
        <v>#REF!</v>
      </c>
      <c r="AB133" s="242" t="e">
        <f>INDEX('[3]TONG HOP'!#REF!,MATCH(D133,'[3]TONG HOP'!$L$31:$L$400,0),367)</f>
        <v>#REF!</v>
      </c>
      <c r="AC133" s="246" t="e">
        <f>INDEX('[3]TONG HOP'!#REF!,MATCH(D133,'[3]TONG HOP'!$L$31:$L$400,0),364)</f>
        <v>#REF!</v>
      </c>
      <c r="AD133" s="242" t="e">
        <f>INDEX('[3]TONG HOP'!#REF!,MATCH(D133,'[3]TONG HOP'!$L$31:$L$400,0),4)</f>
        <v>#REF!</v>
      </c>
      <c r="AE133" s="245">
        <f>INDEX('[4]BIeu 03KBQT'!$A$11:$X$178,MATCH(D133,'[4]BIeu 03KBQT'!$D$11:$D$178,0),6)/1000000</f>
        <v>9152.571</v>
      </c>
      <c r="AF133" s="244">
        <f t="shared" si="4"/>
        <v>0</v>
      </c>
      <c r="AG133" s="203">
        <f>INDEX('[4]BIeu 03KBQT'!$A$11:$X$178,MATCH(D133,'[4]BIeu 03KBQT'!$D$11:$D$178,0),24)/1000000</f>
        <v>13836.726</v>
      </c>
      <c r="AH133" s="204">
        <f t="shared" si="3"/>
        <v>0</v>
      </c>
    </row>
    <row r="134" spans="1:34" s="200" customFormat="1" ht="27">
      <c r="A134" s="329">
        <v>67</v>
      </c>
      <c r="B134" s="240" t="s">
        <v>387</v>
      </c>
      <c r="C134" s="329" t="s">
        <v>305</v>
      </c>
      <c r="D134" s="241">
        <v>7498196</v>
      </c>
      <c r="E134" s="231">
        <v>26668.076</v>
      </c>
      <c r="F134" s="232">
        <v>175.205</v>
      </c>
      <c r="G134" s="231">
        <v>0</v>
      </c>
      <c r="H134" s="233">
        <v>0</v>
      </c>
      <c r="I134" s="231">
        <v>0</v>
      </c>
      <c r="J134" s="231">
        <v>4243</v>
      </c>
      <c r="K134" s="231">
        <v>4243</v>
      </c>
      <c r="L134" s="231">
        <v>4243</v>
      </c>
      <c r="M134" s="328"/>
      <c r="N134" s="328"/>
      <c r="O134" s="231">
        <v>0</v>
      </c>
      <c r="P134" s="231">
        <v>15574</v>
      </c>
      <c r="Q134" s="231">
        <v>14597.057</v>
      </c>
      <c r="R134" s="231">
        <v>12860.099</v>
      </c>
      <c r="S134" s="231">
        <v>1736.958</v>
      </c>
      <c r="T134" s="328"/>
      <c r="U134" s="231">
        <v>976.9429999999993</v>
      </c>
      <c r="V134" s="234">
        <v>17103.099000000002</v>
      </c>
      <c r="W134" s="231">
        <v>1736.958</v>
      </c>
      <c r="X134" s="233">
        <v>19015.262000000002</v>
      </c>
      <c r="Y134" s="200">
        <v>1736.958</v>
      </c>
      <c r="Z134" s="200">
        <v>18840.057</v>
      </c>
      <c r="AA134" s="242" t="e">
        <f>INDEX('[3]TONG HOP'!#REF!,MATCH(D134,'[3]TONG HOP'!$L$31:$L$400,0),337)+INDEX('[3]TONG HOP'!#REF!,MATCH(D134,'[3]TONG HOP'!$L$31:$L$400,0),338)</f>
        <v>#REF!</v>
      </c>
      <c r="AB134" s="242" t="e">
        <f>INDEX('[3]TONG HOP'!#REF!,MATCH(D134,'[3]TONG HOP'!$L$31:$L$400,0),367)</f>
        <v>#REF!</v>
      </c>
      <c r="AC134" s="246" t="e">
        <f>INDEX('[3]TONG HOP'!#REF!,MATCH(D134,'[3]TONG HOP'!$L$31:$L$400,0),364)</f>
        <v>#REF!</v>
      </c>
      <c r="AD134" s="242" t="e">
        <f>INDEX('[3]TONG HOP'!#REF!,MATCH(D134,'[3]TONG HOP'!$L$31:$L$400,0),4)</f>
        <v>#REF!</v>
      </c>
      <c r="AE134" s="245">
        <f>INDEX('[4]BIeu 03KBQT'!$A$11:$X$178,MATCH(D134,'[4]BIeu 03KBQT'!$D$11:$D$178,0),6)/1000000</f>
        <v>175.205</v>
      </c>
      <c r="AF134" s="244">
        <f t="shared" si="4"/>
        <v>0</v>
      </c>
      <c r="AG134" s="203">
        <f>INDEX('[4]BIeu 03KBQT'!$A$11:$X$178,MATCH(D134,'[4]BIeu 03KBQT'!$D$11:$D$178,0),24)/1000000</f>
        <v>19015.262</v>
      </c>
      <c r="AH134" s="204">
        <f t="shared" si="3"/>
        <v>0</v>
      </c>
    </row>
    <row r="135" spans="1:34" s="200" customFormat="1" ht="27">
      <c r="A135" s="329">
        <v>68</v>
      </c>
      <c r="B135" s="240" t="s">
        <v>388</v>
      </c>
      <c r="C135" s="329" t="s">
        <v>305</v>
      </c>
      <c r="D135" s="241">
        <v>7549256</v>
      </c>
      <c r="E135" s="231">
        <v>3246.315</v>
      </c>
      <c r="F135" s="232">
        <v>68.397</v>
      </c>
      <c r="G135" s="231">
        <v>0</v>
      </c>
      <c r="H135" s="233">
        <v>0</v>
      </c>
      <c r="I135" s="231">
        <v>0</v>
      </c>
      <c r="J135" s="231">
        <v>600</v>
      </c>
      <c r="K135" s="231">
        <v>600</v>
      </c>
      <c r="L135" s="231">
        <v>600</v>
      </c>
      <c r="M135" s="328"/>
      <c r="N135" s="328"/>
      <c r="O135" s="231">
        <v>0</v>
      </c>
      <c r="P135" s="231">
        <v>2400</v>
      </c>
      <c r="Q135" s="231">
        <v>2004.734</v>
      </c>
      <c r="R135" s="231">
        <v>1974.687</v>
      </c>
      <c r="S135" s="231">
        <v>30.047</v>
      </c>
      <c r="T135" s="231">
        <v>100</v>
      </c>
      <c r="U135" s="231">
        <v>295.2660000000001</v>
      </c>
      <c r="V135" s="234">
        <v>2574.687</v>
      </c>
      <c r="W135" s="231">
        <v>30.047</v>
      </c>
      <c r="X135" s="233">
        <v>2673.131</v>
      </c>
      <c r="Y135" s="200">
        <v>30.047</v>
      </c>
      <c r="Z135" s="200">
        <v>2604.734</v>
      </c>
      <c r="AA135" s="242" t="e">
        <f>INDEX('[3]TONG HOP'!#REF!,MATCH(D135,'[3]TONG HOP'!$L$31:$L$400,0),337)+INDEX('[3]TONG HOP'!#REF!,MATCH(D135,'[3]TONG HOP'!$L$31:$L$400,0),338)</f>
        <v>#REF!</v>
      </c>
      <c r="AB135" s="242" t="e">
        <f>INDEX('[3]TONG HOP'!#REF!,MATCH(D135,'[3]TONG HOP'!$L$31:$L$400,0),367)</f>
        <v>#REF!</v>
      </c>
      <c r="AC135" s="246" t="e">
        <f>INDEX('[3]TONG HOP'!#REF!,MATCH(D135,'[3]TONG HOP'!$L$31:$L$400,0),364)</f>
        <v>#REF!</v>
      </c>
      <c r="AD135" s="242" t="e">
        <f>INDEX('[3]TONG HOP'!#REF!,MATCH(D135,'[3]TONG HOP'!$L$31:$L$400,0),4)</f>
        <v>#REF!</v>
      </c>
      <c r="AE135" s="245">
        <f>INDEX('[4]BIeu 03KBQT'!$A$11:$X$178,MATCH(D135,'[4]BIeu 03KBQT'!$D$11:$D$178,0),6)/1000000</f>
        <v>68.397</v>
      </c>
      <c r="AF135" s="244">
        <f t="shared" si="4"/>
        <v>0</v>
      </c>
      <c r="AG135" s="203">
        <f>INDEX('[4]BIeu 03KBQT'!$A$11:$X$178,MATCH(D135,'[4]BIeu 03KBQT'!$D$11:$D$178,0),24)/1000000</f>
        <v>2673.131</v>
      </c>
      <c r="AH135" s="204">
        <f t="shared" si="3"/>
        <v>0</v>
      </c>
    </row>
    <row r="136" spans="1:34" s="200" customFormat="1" ht="27">
      <c r="A136" s="329">
        <v>69</v>
      </c>
      <c r="B136" s="240" t="s">
        <v>389</v>
      </c>
      <c r="C136" s="329" t="s">
        <v>305</v>
      </c>
      <c r="D136" s="241">
        <v>7589654</v>
      </c>
      <c r="E136" s="231">
        <v>4557.782</v>
      </c>
      <c r="F136" s="232">
        <v>58.024</v>
      </c>
      <c r="G136" s="231">
        <v>0</v>
      </c>
      <c r="H136" s="233">
        <v>0</v>
      </c>
      <c r="I136" s="231">
        <v>0</v>
      </c>
      <c r="J136" s="231">
        <v>3817.782</v>
      </c>
      <c r="K136" s="231">
        <v>3817.782</v>
      </c>
      <c r="L136" s="231">
        <v>3817.782</v>
      </c>
      <c r="M136" s="328"/>
      <c r="N136" s="328"/>
      <c r="O136" s="231">
        <v>0</v>
      </c>
      <c r="P136" s="231">
        <v>422.21799999999996</v>
      </c>
      <c r="Q136" s="231">
        <v>344.1999999999998</v>
      </c>
      <c r="R136" s="231">
        <v>344.1999999999998</v>
      </c>
      <c r="S136" s="328"/>
      <c r="T136" s="328"/>
      <c r="U136" s="231">
        <v>78.01800000000014</v>
      </c>
      <c r="V136" s="234">
        <v>4161.982</v>
      </c>
      <c r="W136" s="231">
        <v>0</v>
      </c>
      <c r="X136" s="233">
        <v>4220.006</v>
      </c>
      <c r="Z136" s="200">
        <v>4161.982</v>
      </c>
      <c r="AA136" s="242" t="e">
        <f>INDEX('[3]TONG HOP'!#REF!,MATCH(D136,'[3]TONG HOP'!$L$31:$L$400,0),337)+INDEX('[3]TONG HOP'!#REF!,MATCH(D136,'[3]TONG HOP'!$L$31:$L$400,0),338)</f>
        <v>#REF!</v>
      </c>
      <c r="AB136" s="242" t="e">
        <f>INDEX('[3]TONG HOP'!#REF!,MATCH(D136,'[3]TONG HOP'!$L$31:$L$400,0),367)</f>
        <v>#REF!</v>
      </c>
      <c r="AC136" s="246" t="e">
        <f>INDEX('[3]TONG HOP'!#REF!,MATCH(D136,'[3]TONG HOP'!$L$31:$L$400,0),364)</f>
        <v>#REF!</v>
      </c>
      <c r="AD136" s="242" t="e">
        <f>INDEX('[3]TONG HOP'!#REF!,MATCH(D136,'[3]TONG HOP'!$L$31:$L$400,0),4)</f>
        <v>#REF!</v>
      </c>
      <c r="AE136" s="245">
        <f>INDEX('[4]BIeu 03KBQT'!$A$11:$X$178,MATCH(D136,'[4]BIeu 03KBQT'!$D$11:$D$178,0),6)/1000000</f>
        <v>58.024</v>
      </c>
      <c r="AF136" s="244">
        <f t="shared" si="4"/>
        <v>0</v>
      </c>
      <c r="AG136" s="203">
        <f>INDEX('[4]BIeu 03KBQT'!$A$11:$X$178,MATCH(D136,'[4]BIeu 03KBQT'!$D$11:$D$178,0),24)/1000000</f>
        <v>4220.006</v>
      </c>
      <c r="AH136" s="204">
        <f t="shared" si="3"/>
        <v>0</v>
      </c>
    </row>
    <row r="137" spans="1:34" s="236" customFormat="1" ht="13.5">
      <c r="A137" s="329"/>
      <c r="B137" s="239" t="s">
        <v>309</v>
      </c>
      <c r="C137" s="330"/>
      <c r="D137" s="329"/>
      <c r="E137" s="328"/>
      <c r="F137" s="205"/>
      <c r="G137" s="328"/>
      <c r="H137" s="333"/>
      <c r="I137" s="328"/>
      <c r="J137" s="328"/>
      <c r="K137" s="328"/>
      <c r="L137" s="328"/>
      <c r="M137" s="328"/>
      <c r="N137" s="328"/>
      <c r="O137" s="328"/>
      <c r="P137" s="328"/>
      <c r="Q137" s="328"/>
      <c r="R137" s="328"/>
      <c r="S137" s="328"/>
      <c r="T137" s="328"/>
      <c r="U137" s="328"/>
      <c r="V137" s="332"/>
      <c r="W137" s="328"/>
      <c r="X137" s="333"/>
      <c r="AA137" s="201"/>
      <c r="AB137" s="201"/>
      <c r="AC137" s="237"/>
      <c r="AD137" s="214"/>
      <c r="AG137" s="213"/>
      <c r="AH137" s="238"/>
    </row>
    <row r="138" spans="1:34" s="236" customFormat="1" ht="13.5">
      <c r="A138" s="329"/>
      <c r="B138" s="235" t="s">
        <v>310</v>
      </c>
      <c r="C138" s="330"/>
      <c r="D138" s="329"/>
      <c r="E138" s="328"/>
      <c r="F138" s="205"/>
      <c r="G138" s="328"/>
      <c r="H138" s="333"/>
      <c r="I138" s="328"/>
      <c r="J138" s="328"/>
      <c r="K138" s="328"/>
      <c r="L138" s="328"/>
      <c r="M138" s="328"/>
      <c r="N138" s="328"/>
      <c r="O138" s="328"/>
      <c r="P138" s="328"/>
      <c r="Q138" s="328"/>
      <c r="R138" s="328"/>
      <c r="S138" s="328"/>
      <c r="T138" s="328"/>
      <c r="U138" s="328"/>
      <c r="V138" s="332"/>
      <c r="W138" s="328"/>
      <c r="X138" s="333"/>
      <c r="AA138" s="201"/>
      <c r="AB138" s="201"/>
      <c r="AC138" s="237"/>
      <c r="AD138" s="214"/>
      <c r="AG138" s="213"/>
      <c r="AH138" s="238"/>
    </row>
    <row r="139" spans="1:34" s="236" customFormat="1" ht="13.5">
      <c r="A139" s="329"/>
      <c r="B139" s="235" t="s">
        <v>311</v>
      </c>
      <c r="C139" s="330"/>
      <c r="D139" s="329"/>
      <c r="E139" s="328"/>
      <c r="F139" s="205"/>
      <c r="G139" s="328"/>
      <c r="H139" s="333"/>
      <c r="I139" s="328"/>
      <c r="J139" s="328"/>
      <c r="K139" s="328"/>
      <c r="L139" s="328"/>
      <c r="M139" s="328"/>
      <c r="N139" s="328"/>
      <c r="O139" s="328"/>
      <c r="P139" s="328"/>
      <c r="Q139" s="328"/>
      <c r="R139" s="328"/>
      <c r="S139" s="328"/>
      <c r="T139" s="328"/>
      <c r="U139" s="328"/>
      <c r="V139" s="332"/>
      <c r="W139" s="328"/>
      <c r="X139" s="333"/>
      <c r="AA139" s="201"/>
      <c r="AB139" s="201"/>
      <c r="AC139" s="237"/>
      <c r="AD139" s="214"/>
      <c r="AG139" s="213"/>
      <c r="AH139" s="238"/>
    </row>
    <row r="140" spans="1:34" s="236" customFormat="1" ht="13.5">
      <c r="A140" s="329"/>
      <c r="B140" s="235" t="s">
        <v>312</v>
      </c>
      <c r="C140" s="330"/>
      <c r="D140" s="329"/>
      <c r="E140" s="328">
        <v>13987.713</v>
      </c>
      <c r="F140" s="205">
        <v>0</v>
      </c>
      <c r="G140" s="328">
        <v>0</v>
      </c>
      <c r="H140" s="333">
        <v>0</v>
      </c>
      <c r="I140" s="328">
        <v>0</v>
      </c>
      <c r="J140" s="328">
        <v>3000</v>
      </c>
      <c r="K140" s="328">
        <v>2999.115</v>
      </c>
      <c r="L140" s="328">
        <v>630.0389999999998</v>
      </c>
      <c r="M140" s="328">
        <v>2369.076</v>
      </c>
      <c r="N140" s="328">
        <v>0</v>
      </c>
      <c r="O140" s="328">
        <v>0.8850000000002183</v>
      </c>
      <c r="P140" s="328">
        <v>0</v>
      </c>
      <c r="Q140" s="328">
        <v>0</v>
      </c>
      <c r="R140" s="328">
        <v>0</v>
      </c>
      <c r="S140" s="328">
        <v>0</v>
      </c>
      <c r="T140" s="328">
        <v>0</v>
      </c>
      <c r="U140" s="328">
        <v>0</v>
      </c>
      <c r="V140" s="332">
        <v>630.0389999999998</v>
      </c>
      <c r="W140" s="328">
        <v>2369.076</v>
      </c>
      <c r="X140" s="333">
        <v>2999.115</v>
      </c>
      <c r="AA140" s="201"/>
      <c r="AB140" s="201"/>
      <c r="AC140" s="237"/>
      <c r="AD140" s="214"/>
      <c r="AG140" s="213"/>
      <c r="AH140" s="238"/>
    </row>
    <row r="141" spans="1:34" s="200" customFormat="1" ht="27">
      <c r="A141" s="329">
        <v>70</v>
      </c>
      <c r="B141" s="240" t="s">
        <v>390</v>
      </c>
      <c r="C141" s="329" t="s">
        <v>380</v>
      </c>
      <c r="D141" s="261">
        <v>7618070</v>
      </c>
      <c r="E141" s="231">
        <v>13987.713</v>
      </c>
      <c r="F141" s="232">
        <v>0</v>
      </c>
      <c r="G141" s="231">
        <v>0</v>
      </c>
      <c r="H141" s="233">
        <v>0</v>
      </c>
      <c r="I141" s="231">
        <v>0</v>
      </c>
      <c r="J141" s="231">
        <v>3000</v>
      </c>
      <c r="K141" s="231">
        <v>2999.115</v>
      </c>
      <c r="L141" s="231">
        <v>630.0389999999998</v>
      </c>
      <c r="M141" s="231">
        <v>2369.076</v>
      </c>
      <c r="N141" s="328"/>
      <c r="O141" s="231">
        <v>0.8850000000002183</v>
      </c>
      <c r="P141" s="231"/>
      <c r="Q141" s="231"/>
      <c r="R141" s="328"/>
      <c r="S141" s="328"/>
      <c r="T141" s="328"/>
      <c r="U141" s="231">
        <v>0</v>
      </c>
      <c r="V141" s="234">
        <v>630.0389999999998</v>
      </c>
      <c r="W141" s="231">
        <v>2369.076</v>
      </c>
      <c r="X141" s="233">
        <v>2999.115</v>
      </c>
      <c r="Y141" s="200">
        <v>2369.076</v>
      </c>
      <c r="Z141" s="200">
        <v>2999.115</v>
      </c>
      <c r="AA141" s="242" t="e">
        <f>INDEX('[3]TONG HOP'!#REF!,MATCH(D141,'[3]TONG HOP'!$L$31:$L$400,0),337)+INDEX('[3]TONG HOP'!#REF!,MATCH(D141,'[3]TONG HOP'!$L$31:$L$400,0),338)</f>
        <v>#REF!</v>
      </c>
      <c r="AB141" s="242" t="e">
        <f>INDEX('[3]TONG HOP'!#REF!,MATCH(D141,'[3]TONG HOP'!$L$31:$L$400,0),367)</f>
        <v>#REF!</v>
      </c>
      <c r="AC141" s="246" t="e">
        <f>INDEX('[3]TONG HOP'!#REF!,MATCH(D141,'[3]TONG HOP'!$L$31:$L$400,0),364)</f>
        <v>#REF!</v>
      </c>
      <c r="AD141" s="242" t="e">
        <f>INDEX('[3]TONG HOP'!#REF!,MATCH(D141,'[3]TONG HOP'!$L$31:$L$400,0),4)</f>
        <v>#REF!</v>
      </c>
      <c r="AE141" s="245" t="e">
        <f>INDEX('[4]BIeu 03KBQT'!$A$11:$X$178,MATCH(D141,'[4]BIeu 03KBQT'!$D$11:$D$178,0),6)/1000000</f>
        <v>#REF!</v>
      </c>
      <c r="AF141" s="244" t="e">
        <f>AE141-F141</f>
        <v>#REF!</v>
      </c>
      <c r="AG141" s="203">
        <f>INDEX('[4]BIeu 03KBQT'!$A$11:$X$178,MATCH(D141,'[4]BIeu 03KBQT'!$D$11:$D$178,0),24)/1000000</f>
        <v>2999.115</v>
      </c>
      <c r="AH141" s="204">
        <f>AG141-X141</f>
        <v>0</v>
      </c>
    </row>
    <row r="142" spans="1:34" s="236" customFormat="1" ht="13.5">
      <c r="A142" s="329"/>
      <c r="B142" s="235" t="s">
        <v>313</v>
      </c>
      <c r="C142" s="330"/>
      <c r="D142" s="329"/>
      <c r="E142" s="328"/>
      <c r="F142" s="205"/>
      <c r="G142" s="328"/>
      <c r="H142" s="333"/>
      <c r="I142" s="328"/>
      <c r="J142" s="328"/>
      <c r="K142" s="328"/>
      <c r="L142" s="328"/>
      <c r="M142" s="328"/>
      <c r="N142" s="328"/>
      <c r="O142" s="328"/>
      <c r="P142" s="328"/>
      <c r="Q142" s="328"/>
      <c r="R142" s="328"/>
      <c r="S142" s="328"/>
      <c r="T142" s="328"/>
      <c r="U142" s="328"/>
      <c r="V142" s="332"/>
      <c r="W142" s="328"/>
      <c r="X142" s="333"/>
      <c r="AA142" s="201"/>
      <c r="AB142" s="201"/>
      <c r="AC142" s="237"/>
      <c r="AD142" s="214"/>
      <c r="AG142" s="213"/>
      <c r="AH142" s="238"/>
    </row>
    <row r="143" spans="1:34" s="236" customFormat="1" ht="13.5">
      <c r="A143" s="329"/>
      <c r="B143" s="239" t="s">
        <v>391</v>
      </c>
      <c r="C143" s="330"/>
      <c r="D143" s="329"/>
      <c r="E143" s="328"/>
      <c r="F143" s="205"/>
      <c r="G143" s="328"/>
      <c r="H143" s="333"/>
      <c r="I143" s="328"/>
      <c r="J143" s="328"/>
      <c r="K143" s="328"/>
      <c r="L143" s="328"/>
      <c r="M143" s="328"/>
      <c r="N143" s="328"/>
      <c r="O143" s="328"/>
      <c r="P143" s="328">
        <v>4245.781999999999</v>
      </c>
      <c r="Q143" s="328"/>
      <c r="R143" s="328"/>
      <c r="S143" s="328"/>
      <c r="T143" s="328">
        <v>4245.781999999999</v>
      </c>
      <c r="U143" s="328"/>
      <c r="V143" s="332"/>
      <c r="W143" s="328"/>
      <c r="X143" s="333"/>
      <c r="AA143" s="201"/>
      <c r="AB143" s="201"/>
      <c r="AC143" s="237"/>
      <c r="AD143" s="214"/>
      <c r="AG143" s="213"/>
      <c r="AH143" s="238"/>
    </row>
    <row r="144" spans="1:34" s="268" customFormat="1" ht="13.5">
      <c r="A144" s="263" t="s">
        <v>32</v>
      </c>
      <c r="B144" s="264" t="s">
        <v>392</v>
      </c>
      <c r="C144" s="265"/>
      <c r="D144" s="263"/>
      <c r="E144" s="332">
        <v>102644.49100000001</v>
      </c>
      <c r="F144" s="266">
        <v>66213.773</v>
      </c>
      <c r="G144" s="332">
        <v>1326.915</v>
      </c>
      <c r="H144" s="267">
        <v>0</v>
      </c>
      <c r="I144" s="332">
        <v>765.55</v>
      </c>
      <c r="J144" s="332">
        <v>6686</v>
      </c>
      <c r="K144" s="332">
        <v>6386.225</v>
      </c>
      <c r="L144" s="332">
        <v>5713.756</v>
      </c>
      <c r="M144" s="332">
        <v>672.469</v>
      </c>
      <c r="N144" s="332">
        <v>0</v>
      </c>
      <c r="O144" s="332">
        <v>299.77499999999964</v>
      </c>
      <c r="P144" s="332">
        <v>9161</v>
      </c>
      <c r="Q144" s="332">
        <v>6898.235</v>
      </c>
      <c r="R144" s="332">
        <v>6867.423</v>
      </c>
      <c r="S144" s="332">
        <v>30.812</v>
      </c>
      <c r="T144" s="332">
        <v>2262.474</v>
      </c>
      <c r="U144" s="332">
        <v>0.29099999999994</v>
      </c>
      <c r="V144" s="332">
        <v>13346.729000000001</v>
      </c>
      <c r="W144" s="332">
        <v>1264.6460000000002</v>
      </c>
      <c r="X144" s="267">
        <v>79498.23300000001</v>
      </c>
      <c r="AA144" s="269"/>
      <c r="AB144" s="269"/>
      <c r="AC144" s="270"/>
      <c r="AD144" s="271"/>
      <c r="AG144" s="272"/>
      <c r="AH144" s="273"/>
    </row>
    <row r="145" spans="1:34" s="200" customFormat="1" ht="13.5">
      <c r="A145" s="329"/>
      <c r="B145" s="215" t="s">
        <v>393</v>
      </c>
      <c r="C145" s="330"/>
      <c r="D145" s="329"/>
      <c r="E145" s="328">
        <v>7708</v>
      </c>
      <c r="F145" s="205">
        <v>0</v>
      </c>
      <c r="G145" s="328">
        <v>0</v>
      </c>
      <c r="H145" s="333">
        <v>0</v>
      </c>
      <c r="I145" s="328">
        <v>0</v>
      </c>
      <c r="J145" s="328">
        <v>2700</v>
      </c>
      <c r="K145" s="328">
        <v>2403.789</v>
      </c>
      <c r="L145" s="328">
        <v>1771.3200000000002</v>
      </c>
      <c r="M145" s="328">
        <v>632.469</v>
      </c>
      <c r="N145" s="328">
        <v>0</v>
      </c>
      <c r="O145" s="328">
        <v>296.2109999999998</v>
      </c>
      <c r="P145" s="328">
        <v>0</v>
      </c>
      <c r="Q145" s="328">
        <v>0</v>
      </c>
      <c r="R145" s="328">
        <v>0</v>
      </c>
      <c r="S145" s="328">
        <v>0</v>
      </c>
      <c r="T145" s="328">
        <v>0</v>
      </c>
      <c r="U145" s="328">
        <v>0</v>
      </c>
      <c r="V145" s="332">
        <v>1771.3200000000002</v>
      </c>
      <c r="W145" s="328">
        <v>632.469</v>
      </c>
      <c r="X145" s="333">
        <v>2403.789</v>
      </c>
      <c r="AA145" s="201"/>
      <c r="AB145" s="201"/>
      <c r="AC145" s="202"/>
      <c r="AD145" s="214"/>
      <c r="AG145" s="203"/>
      <c r="AH145" s="204"/>
    </row>
    <row r="146" spans="1:34" s="200" customFormat="1" ht="13.5">
      <c r="A146" s="329"/>
      <c r="B146" s="215" t="s">
        <v>394</v>
      </c>
      <c r="C146" s="330"/>
      <c r="D146" s="329"/>
      <c r="E146" s="328">
        <v>7708</v>
      </c>
      <c r="F146" s="205">
        <v>0</v>
      </c>
      <c r="G146" s="328">
        <v>0</v>
      </c>
      <c r="H146" s="333">
        <v>0</v>
      </c>
      <c r="I146" s="328">
        <v>0</v>
      </c>
      <c r="J146" s="328">
        <v>2700</v>
      </c>
      <c r="K146" s="328">
        <v>2403.789</v>
      </c>
      <c r="L146" s="328">
        <v>1771.3200000000002</v>
      </c>
      <c r="M146" s="328">
        <v>632.469</v>
      </c>
      <c r="N146" s="328">
        <v>0</v>
      </c>
      <c r="O146" s="328">
        <v>296.2109999999998</v>
      </c>
      <c r="P146" s="328">
        <v>0</v>
      </c>
      <c r="Q146" s="328">
        <v>0</v>
      </c>
      <c r="R146" s="328">
        <v>0</v>
      </c>
      <c r="S146" s="328">
        <v>0</v>
      </c>
      <c r="T146" s="328">
        <v>0</v>
      </c>
      <c r="U146" s="328">
        <v>0</v>
      </c>
      <c r="V146" s="332">
        <v>1771.3200000000002</v>
      </c>
      <c r="W146" s="328">
        <v>632.469</v>
      </c>
      <c r="X146" s="333">
        <v>2403.789</v>
      </c>
      <c r="AA146" s="201"/>
      <c r="AB146" s="201"/>
      <c r="AC146" s="202"/>
      <c r="AD146" s="214"/>
      <c r="AG146" s="203"/>
      <c r="AH146" s="204"/>
    </row>
    <row r="147" spans="1:34" s="200" customFormat="1" ht="13.5">
      <c r="A147" s="329">
        <v>71</v>
      </c>
      <c r="B147" s="240" t="s">
        <v>333</v>
      </c>
      <c r="C147" s="329" t="s">
        <v>305</v>
      </c>
      <c r="D147" s="274">
        <v>7545080</v>
      </c>
      <c r="E147" s="231">
        <v>7708</v>
      </c>
      <c r="F147" s="232">
        <v>0</v>
      </c>
      <c r="G147" s="231">
        <v>0</v>
      </c>
      <c r="H147" s="233">
        <v>0</v>
      </c>
      <c r="I147" s="231">
        <v>0</v>
      </c>
      <c r="J147" s="231">
        <v>2700</v>
      </c>
      <c r="K147" s="328">
        <v>2403.789</v>
      </c>
      <c r="L147" s="231">
        <v>1771.3200000000002</v>
      </c>
      <c r="M147" s="231">
        <v>632.469</v>
      </c>
      <c r="N147" s="231">
        <v>0</v>
      </c>
      <c r="O147" s="231">
        <v>296.2109999999998</v>
      </c>
      <c r="P147" s="328"/>
      <c r="Q147" s="328"/>
      <c r="R147" s="328"/>
      <c r="S147" s="328"/>
      <c r="T147" s="328"/>
      <c r="U147" s="231">
        <v>0</v>
      </c>
      <c r="V147" s="234">
        <v>1771.3200000000002</v>
      </c>
      <c r="W147" s="231">
        <v>632.469</v>
      </c>
      <c r="X147" s="233">
        <v>2403.789</v>
      </c>
      <c r="Y147" s="200">
        <v>632.469</v>
      </c>
      <c r="Z147" s="200">
        <v>2703.789</v>
      </c>
      <c r="AA147" s="242" t="e">
        <f>INDEX('[3]TONG HOP'!#REF!,MATCH(D147,'[3]TONG HOP'!$L$31:$L$400,0),350)+INDEX('[3]TONG HOP'!#REF!,MATCH(D147,'[3]TONG HOP'!$L$31:$L$400,0),349)</f>
        <v>#REF!</v>
      </c>
      <c r="AB147" s="242" t="e">
        <f>INDEX('[3]TONG HOP'!#REF!,MATCH(D147,'[3]TONG HOP'!$L$31:$L$400,0),368)</f>
        <v>#REF!</v>
      </c>
      <c r="AC147" s="246" t="e">
        <f>INDEX('[3]TONG HOP'!#REF!,MATCH(D147,'[3]TONG HOP'!$L$31:$L$400,0),365)</f>
        <v>#REF!</v>
      </c>
      <c r="AD147" s="242" t="e">
        <f>INDEX('[3]TONG HOP'!#REF!,MATCH(D147,'[3]TONG HOP'!$L$31:$L$400,0),4)</f>
        <v>#REF!</v>
      </c>
      <c r="AE147" s="245" t="e">
        <f>INDEX('[4]BIeu 03KBQT'!$A$11:$X$178,MATCH(D147,'[4]BIeu 03KBQT'!$D$11:$D$178,0),6)/1000000</f>
        <v>#REF!</v>
      </c>
      <c r="AF147" s="244" t="e">
        <f>AE147-F147</f>
        <v>#REF!</v>
      </c>
      <c r="AG147" s="203">
        <v>2403.789</v>
      </c>
      <c r="AH147" s="204">
        <f>AG147-X147</f>
        <v>0</v>
      </c>
    </row>
    <row r="148" spans="1:34" s="200" customFormat="1" ht="13.5">
      <c r="A148" s="329"/>
      <c r="B148" s="215" t="s">
        <v>395</v>
      </c>
      <c r="C148" s="330"/>
      <c r="D148" s="329"/>
      <c r="E148" s="328">
        <v>2578.281</v>
      </c>
      <c r="F148" s="205">
        <v>0</v>
      </c>
      <c r="G148" s="328">
        <v>0</v>
      </c>
      <c r="H148" s="333">
        <v>0</v>
      </c>
      <c r="I148" s="328">
        <v>0</v>
      </c>
      <c r="J148" s="328">
        <v>909</v>
      </c>
      <c r="K148" s="328">
        <v>909</v>
      </c>
      <c r="L148" s="328">
        <v>909</v>
      </c>
      <c r="M148" s="328">
        <v>0</v>
      </c>
      <c r="N148" s="328">
        <v>0</v>
      </c>
      <c r="O148" s="328">
        <v>0</v>
      </c>
      <c r="P148" s="328">
        <v>0</v>
      </c>
      <c r="Q148" s="328">
        <v>0</v>
      </c>
      <c r="R148" s="328">
        <v>0</v>
      </c>
      <c r="S148" s="328">
        <v>0</v>
      </c>
      <c r="T148" s="328">
        <v>0</v>
      </c>
      <c r="U148" s="328">
        <v>0</v>
      </c>
      <c r="V148" s="332">
        <v>909</v>
      </c>
      <c r="W148" s="328">
        <v>0</v>
      </c>
      <c r="X148" s="333">
        <v>909</v>
      </c>
      <c r="AA148" s="201"/>
      <c r="AB148" s="201"/>
      <c r="AC148" s="202"/>
      <c r="AD148" s="214"/>
      <c r="AG148" s="203"/>
      <c r="AH148" s="204"/>
    </row>
    <row r="149" spans="1:34" s="200" customFormat="1" ht="13.5">
      <c r="A149" s="329"/>
      <c r="B149" s="215" t="s">
        <v>394</v>
      </c>
      <c r="C149" s="330"/>
      <c r="D149" s="329"/>
      <c r="E149" s="328">
        <v>2578.281</v>
      </c>
      <c r="F149" s="205">
        <v>0</v>
      </c>
      <c r="G149" s="328">
        <v>0</v>
      </c>
      <c r="H149" s="333">
        <v>0</v>
      </c>
      <c r="I149" s="328">
        <v>0</v>
      </c>
      <c r="J149" s="328">
        <v>909</v>
      </c>
      <c r="K149" s="328">
        <v>909</v>
      </c>
      <c r="L149" s="328">
        <v>909</v>
      </c>
      <c r="M149" s="328">
        <v>0</v>
      </c>
      <c r="N149" s="328">
        <v>0</v>
      </c>
      <c r="O149" s="328">
        <v>0</v>
      </c>
      <c r="P149" s="328">
        <v>0</v>
      </c>
      <c r="Q149" s="328">
        <v>0</v>
      </c>
      <c r="R149" s="328">
        <v>0</v>
      </c>
      <c r="S149" s="328">
        <v>0</v>
      </c>
      <c r="T149" s="328">
        <v>0</v>
      </c>
      <c r="U149" s="328">
        <v>0</v>
      </c>
      <c r="V149" s="332">
        <v>909</v>
      </c>
      <c r="W149" s="328">
        <v>0</v>
      </c>
      <c r="X149" s="333">
        <v>909</v>
      </c>
      <c r="AA149" s="201"/>
      <c r="AB149" s="201"/>
      <c r="AC149" s="202"/>
      <c r="AD149" s="214"/>
      <c r="AG149" s="203"/>
      <c r="AH149" s="204"/>
    </row>
    <row r="150" spans="1:34" s="200" customFormat="1" ht="27">
      <c r="A150" s="329">
        <v>72</v>
      </c>
      <c r="B150" s="240" t="s">
        <v>332</v>
      </c>
      <c r="C150" s="329" t="s">
        <v>305</v>
      </c>
      <c r="D150" s="274">
        <v>7541990</v>
      </c>
      <c r="E150" s="231">
        <v>2578.281</v>
      </c>
      <c r="F150" s="232">
        <v>0</v>
      </c>
      <c r="G150" s="231">
        <v>0</v>
      </c>
      <c r="H150" s="233">
        <v>0</v>
      </c>
      <c r="I150" s="231">
        <v>0</v>
      </c>
      <c r="J150" s="231">
        <v>909</v>
      </c>
      <c r="K150" s="231">
        <v>909</v>
      </c>
      <c r="L150" s="231">
        <v>909</v>
      </c>
      <c r="M150" s="328"/>
      <c r="N150" s="328"/>
      <c r="O150" s="231">
        <v>0</v>
      </c>
      <c r="P150" s="231"/>
      <c r="Q150" s="231"/>
      <c r="R150" s="231"/>
      <c r="S150" s="328"/>
      <c r="T150" s="328"/>
      <c r="U150" s="231">
        <v>0</v>
      </c>
      <c r="V150" s="234">
        <v>909</v>
      </c>
      <c r="W150" s="231">
        <v>0</v>
      </c>
      <c r="X150" s="233">
        <v>909</v>
      </c>
      <c r="Y150" s="200">
        <v>0</v>
      </c>
      <c r="Z150" s="200">
        <v>74.59</v>
      </c>
      <c r="AA150" s="242" t="e">
        <f>INDEX('[3]TONG HOP'!#REF!,MATCH(D150,'[3]TONG HOP'!$L$31:$L$400,0),345)+INDEX('[3]TONG HOP'!#REF!,MATCH(D150,'[3]TONG HOP'!$L$31:$L$400,0),346)</f>
        <v>#REF!</v>
      </c>
      <c r="AB150" s="242" t="e">
        <f>INDEX('[3]TONG HOP'!#REF!,MATCH(D150,'[3]TONG HOP'!$L$31:$L$400,0),368)</f>
        <v>#REF!</v>
      </c>
      <c r="AC150" s="246" t="e">
        <f>INDEX('[3]TONG HOP'!#REF!,MATCH(D150,'[3]TONG HOP'!$L$31:$L$400,0),365)</f>
        <v>#REF!</v>
      </c>
      <c r="AD150" s="214"/>
      <c r="AE150" s="245">
        <v>0</v>
      </c>
      <c r="AF150" s="275"/>
      <c r="AG150" s="203">
        <v>909</v>
      </c>
      <c r="AH150" s="204">
        <f>AG150-X150</f>
        <v>0</v>
      </c>
    </row>
    <row r="151" spans="1:34" s="200" customFormat="1" ht="27">
      <c r="A151" s="329"/>
      <c r="B151" s="215" t="s">
        <v>396</v>
      </c>
      <c r="C151" s="330"/>
      <c r="D151" s="276"/>
      <c r="E151" s="328">
        <v>35030.238</v>
      </c>
      <c r="F151" s="205">
        <v>10822.718</v>
      </c>
      <c r="G151" s="328">
        <v>1326.915</v>
      </c>
      <c r="H151" s="333">
        <v>0</v>
      </c>
      <c r="I151" s="328">
        <v>765.55</v>
      </c>
      <c r="J151" s="328">
        <v>3077</v>
      </c>
      <c r="K151" s="328">
        <v>3073.436</v>
      </c>
      <c r="L151" s="328">
        <v>3033.436</v>
      </c>
      <c r="M151" s="328">
        <v>40</v>
      </c>
      <c r="N151" s="328">
        <v>0</v>
      </c>
      <c r="O151" s="328">
        <v>3.563999999999851</v>
      </c>
      <c r="P151" s="328">
        <v>8000</v>
      </c>
      <c r="Q151" s="328">
        <v>5737.526</v>
      </c>
      <c r="R151" s="328">
        <v>5706.714</v>
      </c>
      <c r="S151" s="328">
        <v>30.812</v>
      </c>
      <c r="T151" s="328">
        <v>2262.474</v>
      </c>
      <c r="U151" s="328">
        <v>0</v>
      </c>
      <c r="V151" s="332">
        <v>9505.7</v>
      </c>
      <c r="W151" s="328">
        <v>632.177</v>
      </c>
      <c r="X151" s="333">
        <v>19633.68</v>
      </c>
      <c r="AA151" s="201"/>
      <c r="AB151" s="201"/>
      <c r="AC151" s="202"/>
      <c r="AD151" s="214"/>
      <c r="AG151" s="203"/>
      <c r="AH151" s="204"/>
    </row>
    <row r="152" spans="1:34" s="200" customFormat="1" ht="13.5">
      <c r="A152" s="329"/>
      <c r="B152" s="277" t="s">
        <v>397</v>
      </c>
      <c r="C152" s="330"/>
      <c r="D152" s="276"/>
      <c r="E152" s="328">
        <v>30021.238</v>
      </c>
      <c r="F152" s="205">
        <v>10500</v>
      </c>
      <c r="G152" s="328">
        <v>1326.915</v>
      </c>
      <c r="H152" s="333">
        <v>0</v>
      </c>
      <c r="I152" s="328">
        <v>765.55</v>
      </c>
      <c r="J152" s="328">
        <v>0</v>
      </c>
      <c r="K152" s="328">
        <v>0</v>
      </c>
      <c r="L152" s="328">
        <v>0</v>
      </c>
      <c r="M152" s="328">
        <v>0</v>
      </c>
      <c r="N152" s="328">
        <v>0</v>
      </c>
      <c r="O152" s="328">
        <v>0</v>
      </c>
      <c r="P152" s="328">
        <v>8000</v>
      </c>
      <c r="Q152" s="328">
        <v>5737.526</v>
      </c>
      <c r="R152" s="328">
        <v>5706.714</v>
      </c>
      <c r="S152" s="328">
        <v>30.812</v>
      </c>
      <c r="T152" s="328">
        <v>2262.474</v>
      </c>
      <c r="U152" s="328">
        <v>0</v>
      </c>
      <c r="V152" s="332">
        <v>6472.264</v>
      </c>
      <c r="W152" s="328">
        <v>592.177</v>
      </c>
      <c r="X152" s="333">
        <v>16237.526</v>
      </c>
      <c r="AA152" s="201"/>
      <c r="AB152" s="201"/>
      <c r="AC152" s="202"/>
      <c r="AD152" s="214"/>
      <c r="AG152" s="203"/>
      <c r="AH152" s="204"/>
    </row>
    <row r="153" spans="1:34" s="200" customFormat="1" ht="40.5">
      <c r="A153" s="329">
        <v>73</v>
      </c>
      <c r="B153" s="240" t="s">
        <v>323</v>
      </c>
      <c r="C153" s="329" t="s">
        <v>305</v>
      </c>
      <c r="D153" s="241">
        <v>7563027</v>
      </c>
      <c r="E153" s="231">
        <v>30021.238</v>
      </c>
      <c r="F153" s="232">
        <v>10500</v>
      </c>
      <c r="G153" s="231">
        <v>1326.915</v>
      </c>
      <c r="H153" s="233">
        <v>0</v>
      </c>
      <c r="I153" s="231">
        <v>765.55</v>
      </c>
      <c r="J153" s="328"/>
      <c r="K153" s="328">
        <v>0</v>
      </c>
      <c r="L153" s="328"/>
      <c r="M153" s="328"/>
      <c r="N153" s="328"/>
      <c r="O153" s="231">
        <v>0</v>
      </c>
      <c r="P153" s="231">
        <v>8000</v>
      </c>
      <c r="Q153" s="231">
        <v>5737.526</v>
      </c>
      <c r="R153" s="231">
        <v>5706.714</v>
      </c>
      <c r="S153" s="231">
        <v>30.812</v>
      </c>
      <c r="T153" s="231">
        <v>2262.474</v>
      </c>
      <c r="U153" s="231">
        <v>0</v>
      </c>
      <c r="V153" s="234">
        <v>6472.264</v>
      </c>
      <c r="W153" s="231">
        <v>592.177</v>
      </c>
      <c r="X153" s="233">
        <v>16237.526</v>
      </c>
      <c r="Y153" s="200">
        <v>592.177</v>
      </c>
      <c r="Z153" s="200">
        <v>5737.526</v>
      </c>
      <c r="AA153" s="242" t="e">
        <f>INDEX('[3]TONG HOP'!#REF!,MATCH(D153,'[3]TONG HOP'!$L$31:$L$400,0),341)+INDEX('[3]TONG HOP'!#REF!,MATCH(D153,'[3]TONG HOP'!$L$31:$L$400,0),342)</f>
        <v>#REF!</v>
      </c>
      <c r="AB153" s="242" t="e">
        <f>INDEX('[3]TONG HOP'!#REF!,MATCH(D153,'[3]TONG HOP'!$L$31:$L$400,0),368)</f>
        <v>#REF!</v>
      </c>
      <c r="AC153" s="246" t="e">
        <f>INDEX('[3]TONG HOP'!#REF!,MATCH(D153,'[3]TONG HOP'!$L$31:$L$400,0),365)</f>
        <v>#REF!</v>
      </c>
      <c r="AD153" s="242" t="e">
        <f>INDEX('[3]TONG HOP'!#REF!,MATCH(D153,'[3]TONG HOP'!$L$31:$L$400,0),4)</f>
        <v>#REF!</v>
      </c>
      <c r="AE153" s="245">
        <f>F153</f>
        <v>10500</v>
      </c>
      <c r="AF153" s="275">
        <f>AE153-F153</f>
        <v>0</v>
      </c>
      <c r="AG153" s="203">
        <v>16237.526</v>
      </c>
      <c r="AH153" s="204">
        <f>AG153-X153</f>
        <v>0</v>
      </c>
    </row>
    <row r="154" spans="1:34" s="200" customFormat="1" ht="13.5">
      <c r="A154" s="329"/>
      <c r="B154" s="278" t="s">
        <v>398</v>
      </c>
      <c r="C154" s="330"/>
      <c r="D154" s="241"/>
      <c r="E154" s="328">
        <v>5009</v>
      </c>
      <c r="F154" s="205">
        <v>322.718</v>
      </c>
      <c r="G154" s="328">
        <v>0</v>
      </c>
      <c r="H154" s="333">
        <v>0</v>
      </c>
      <c r="I154" s="328">
        <v>0</v>
      </c>
      <c r="J154" s="328">
        <v>3077</v>
      </c>
      <c r="K154" s="328">
        <v>3073.436</v>
      </c>
      <c r="L154" s="328">
        <v>3033.436</v>
      </c>
      <c r="M154" s="328">
        <v>40</v>
      </c>
      <c r="N154" s="328">
        <v>0</v>
      </c>
      <c r="O154" s="328">
        <v>3.563999999999851</v>
      </c>
      <c r="P154" s="328">
        <v>0</v>
      </c>
      <c r="Q154" s="328">
        <v>0</v>
      </c>
      <c r="R154" s="328">
        <v>0</v>
      </c>
      <c r="S154" s="328">
        <v>0</v>
      </c>
      <c r="T154" s="328">
        <v>0</v>
      </c>
      <c r="U154" s="328">
        <v>0</v>
      </c>
      <c r="V154" s="332">
        <v>3033.436</v>
      </c>
      <c r="W154" s="328">
        <v>40</v>
      </c>
      <c r="X154" s="333">
        <v>3396.154</v>
      </c>
      <c r="AA154" s="201"/>
      <c r="AB154" s="201"/>
      <c r="AC154" s="202"/>
      <c r="AD154" s="214"/>
      <c r="AG154" s="203"/>
      <c r="AH154" s="204"/>
    </row>
    <row r="155" spans="1:34" s="200" customFormat="1" ht="13.5">
      <c r="A155" s="329">
        <v>74</v>
      </c>
      <c r="B155" s="240" t="s">
        <v>367</v>
      </c>
      <c r="C155" s="329" t="s">
        <v>305</v>
      </c>
      <c r="D155" s="279">
        <v>7580550</v>
      </c>
      <c r="E155" s="231">
        <v>5009</v>
      </c>
      <c r="F155" s="232">
        <v>322.718</v>
      </c>
      <c r="G155" s="231">
        <v>0</v>
      </c>
      <c r="H155" s="233">
        <v>0</v>
      </c>
      <c r="I155" s="231">
        <v>0</v>
      </c>
      <c r="J155" s="231">
        <v>3077</v>
      </c>
      <c r="K155" s="231">
        <v>3073.436</v>
      </c>
      <c r="L155" s="242">
        <v>3033.436</v>
      </c>
      <c r="M155" s="231">
        <v>40</v>
      </c>
      <c r="N155" s="328"/>
      <c r="O155" s="231">
        <v>3.563999999999851</v>
      </c>
      <c r="P155" s="328"/>
      <c r="Q155" s="328"/>
      <c r="R155" s="328"/>
      <c r="S155" s="328"/>
      <c r="T155" s="328"/>
      <c r="U155" s="231">
        <v>0</v>
      </c>
      <c r="V155" s="234">
        <v>3033.436</v>
      </c>
      <c r="W155" s="231">
        <v>40</v>
      </c>
      <c r="X155" s="233">
        <v>3396.154</v>
      </c>
      <c r="Y155" s="200">
        <v>40</v>
      </c>
      <c r="Z155" s="200">
        <v>3435.3540000000003</v>
      </c>
      <c r="AA155" s="242" t="e">
        <f>INDEX('[3]TONG HOP'!#REF!,MATCH(D155,'[3]TONG HOP'!$L$31:$L$400,0),341)+INDEX('[3]TONG HOP'!#REF!,MATCH(D155,'[3]TONG HOP'!$L$31:$L$400,0),342)</f>
        <v>#REF!</v>
      </c>
      <c r="AB155" s="242" t="e">
        <f>INDEX('[3]TONG HOP'!#REF!,MATCH(D155,'[3]TONG HOP'!$L$31:$L$400,0),368)</f>
        <v>#REF!</v>
      </c>
      <c r="AC155" s="246" t="e">
        <f>INDEX('[3]TONG HOP'!#REF!,MATCH(D155,'[3]TONG HOP'!$L$31:$L$400,0),365)</f>
        <v>#REF!</v>
      </c>
      <c r="AD155" s="242" t="e">
        <f>INDEX('[3]TONG HOP'!#REF!,MATCH(D155,'[3]TONG HOP'!$L$31:$L$400,0),4)</f>
        <v>#REF!</v>
      </c>
      <c r="AE155" s="245" t="e">
        <f>INDEX('[4]BIeu 03KBQT'!$A$11:$X$178,MATCH(D155,'[4]BIeu 03KBQT'!$D$11:$D$178,0),6)/1000000</f>
        <v>#REF!</v>
      </c>
      <c r="AF155" s="275" t="e">
        <f>AE155-F155</f>
        <v>#REF!</v>
      </c>
      <c r="AG155" s="203">
        <v>3396.154</v>
      </c>
      <c r="AH155" s="204">
        <f>AG155-X155</f>
        <v>0</v>
      </c>
    </row>
    <row r="156" spans="1:34" s="200" customFormat="1" ht="27">
      <c r="A156" s="329"/>
      <c r="B156" s="215" t="s">
        <v>399</v>
      </c>
      <c r="C156" s="330"/>
      <c r="D156" s="276"/>
      <c r="E156" s="328">
        <v>57327.972</v>
      </c>
      <c r="F156" s="205">
        <v>55391.055</v>
      </c>
      <c r="G156" s="328">
        <v>0</v>
      </c>
      <c r="H156" s="333">
        <v>0</v>
      </c>
      <c r="I156" s="328">
        <v>0</v>
      </c>
      <c r="J156" s="328">
        <v>0</v>
      </c>
      <c r="K156" s="328">
        <v>0</v>
      </c>
      <c r="L156" s="328">
        <v>0</v>
      </c>
      <c r="M156" s="328">
        <v>0</v>
      </c>
      <c r="N156" s="328">
        <v>0</v>
      </c>
      <c r="O156" s="328">
        <v>0</v>
      </c>
      <c r="P156" s="328">
        <v>1161</v>
      </c>
      <c r="Q156" s="328">
        <v>1160.709</v>
      </c>
      <c r="R156" s="328">
        <v>1160.709</v>
      </c>
      <c r="S156" s="328">
        <v>0</v>
      </c>
      <c r="T156" s="328">
        <v>0</v>
      </c>
      <c r="U156" s="328">
        <v>0.29099999999994</v>
      </c>
      <c r="V156" s="332">
        <v>1160.709</v>
      </c>
      <c r="W156" s="328">
        <v>0</v>
      </c>
      <c r="X156" s="333">
        <v>56551.764</v>
      </c>
      <c r="AA156" s="201"/>
      <c r="AB156" s="201"/>
      <c r="AC156" s="202"/>
      <c r="AD156" s="214"/>
      <c r="AG156" s="203"/>
      <c r="AH156" s="204"/>
    </row>
    <row r="157" spans="1:34" s="200" customFormat="1" ht="13.5">
      <c r="A157" s="329"/>
      <c r="B157" s="277" t="s">
        <v>394</v>
      </c>
      <c r="C157" s="330"/>
      <c r="D157" s="276"/>
      <c r="E157" s="328">
        <v>57327.972</v>
      </c>
      <c r="F157" s="205">
        <v>55391.055</v>
      </c>
      <c r="G157" s="328">
        <v>0</v>
      </c>
      <c r="H157" s="333">
        <v>0</v>
      </c>
      <c r="I157" s="328">
        <v>0</v>
      </c>
      <c r="J157" s="328">
        <v>0</v>
      </c>
      <c r="K157" s="328">
        <v>0</v>
      </c>
      <c r="L157" s="328">
        <v>0</v>
      </c>
      <c r="M157" s="328">
        <v>0</v>
      </c>
      <c r="N157" s="328">
        <v>0</v>
      </c>
      <c r="O157" s="328">
        <v>0</v>
      </c>
      <c r="P157" s="328">
        <v>1161</v>
      </c>
      <c r="Q157" s="328">
        <v>1160.709</v>
      </c>
      <c r="R157" s="328">
        <v>1160.709</v>
      </c>
      <c r="S157" s="328">
        <v>0</v>
      </c>
      <c r="T157" s="328">
        <v>0</v>
      </c>
      <c r="U157" s="328">
        <v>0.29099999999994</v>
      </c>
      <c r="V157" s="332">
        <v>1160.709</v>
      </c>
      <c r="W157" s="328">
        <v>0</v>
      </c>
      <c r="X157" s="333">
        <v>56551.764</v>
      </c>
      <c r="AA157" s="201"/>
      <c r="AB157" s="201"/>
      <c r="AC157" s="202"/>
      <c r="AD157" s="214"/>
      <c r="AG157" s="203"/>
      <c r="AH157" s="204"/>
    </row>
    <row r="158" spans="1:34" s="250" customFormat="1" ht="27">
      <c r="A158" s="329">
        <v>75</v>
      </c>
      <c r="B158" s="251" t="s">
        <v>426</v>
      </c>
      <c r="C158" s="329" t="e">
        <f>INDEX('[3]TONG HOP'!#REF!,MATCH(D158,'[3]TONG HOP'!$L$31:$L$400,0),8)</f>
        <v>#REF!</v>
      </c>
      <c r="D158" s="280">
        <v>7003689</v>
      </c>
      <c r="E158" s="231">
        <v>57327.972</v>
      </c>
      <c r="F158" s="232">
        <v>55391.055</v>
      </c>
      <c r="G158" s="231">
        <v>0</v>
      </c>
      <c r="H158" s="233">
        <v>0</v>
      </c>
      <c r="I158" s="231">
        <v>0</v>
      </c>
      <c r="J158" s="328"/>
      <c r="K158" s="328"/>
      <c r="L158" s="328"/>
      <c r="M158" s="328"/>
      <c r="N158" s="328"/>
      <c r="O158" s="231">
        <v>0</v>
      </c>
      <c r="P158" s="231">
        <v>1161</v>
      </c>
      <c r="Q158" s="231">
        <v>1160.709</v>
      </c>
      <c r="R158" s="231">
        <v>1160.709</v>
      </c>
      <c r="S158" s="328"/>
      <c r="T158" s="328"/>
      <c r="U158" s="231">
        <v>0.29099999999994</v>
      </c>
      <c r="V158" s="234">
        <v>1160.709</v>
      </c>
      <c r="W158" s="231">
        <v>0</v>
      </c>
      <c r="X158" s="233">
        <v>56551.764</v>
      </c>
      <c r="Y158" s="250" t="e">
        <v>#N/A</v>
      </c>
      <c r="Z158" s="250" t="e">
        <v>#N/A</v>
      </c>
      <c r="AA158" s="242" t="e">
        <f>INDEX('[3]TONG HOP'!#REF!,MATCH(D158,'[3]TONG HOP'!$L$31:$L$400,0),343)+INDEX('[3]TONG HOP'!#REF!,MATCH(D158,'[3]TONG HOP'!$L$31:$L$400,0),344)</f>
        <v>#REF!</v>
      </c>
      <c r="AB158" s="242" t="e">
        <f>INDEX('[3]TONG HOP'!#REF!,MATCH(D158,'[3]TONG HOP'!$L$31:$L$400,0),368)</f>
        <v>#REF!</v>
      </c>
      <c r="AC158" s="246" t="e">
        <f>INDEX('[3]TONG HOP'!#REF!,MATCH(D158,'[3]TONG HOP'!$L$31:$L$400,0),365)</f>
        <v>#REF!</v>
      </c>
      <c r="AD158" s="242" t="e">
        <f>INDEX('[3]TONG HOP'!#REF!,MATCH(D158,'[3]TONG HOP'!$L$31:$L$400,0),4)</f>
        <v>#REF!</v>
      </c>
      <c r="AE158" s="245">
        <f>INDEX('[4]BIeu 03KBQT'!$A$11:$X$178,MATCH(D158,'[4]BIeu 03KBQT'!$D$11:$D$178,0),6)/1000000</f>
        <v>55391.055</v>
      </c>
      <c r="AF158" s="244">
        <f>AE158-F158</f>
        <v>0</v>
      </c>
      <c r="AG158" s="203">
        <f>INDEX('[4]BIeu 03KBQT'!$A$11:$X$178,MATCH(D158,'[4]BIeu 03KBQT'!$D$11:$D$178,0),24)/1000000</f>
        <v>56551.764</v>
      </c>
      <c r="AH158" s="204">
        <f>AG158-X158</f>
        <v>0</v>
      </c>
    </row>
    <row r="159" spans="1:34" s="200" customFormat="1" ht="40.5">
      <c r="A159" s="329" t="s">
        <v>400</v>
      </c>
      <c r="B159" s="215" t="s">
        <v>401</v>
      </c>
      <c r="C159" s="330"/>
      <c r="D159" s="329"/>
      <c r="E159" s="328">
        <v>133683.036</v>
      </c>
      <c r="F159" s="205">
        <v>104850.778</v>
      </c>
      <c r="G159" s="328">
        <v>1374.128</v>
      </c>
      <c r="H159" s="333">
        <v>174.601</v>
      </c>
      <c r="I159" s="328">
        <v>1198.556</v>
      </c>
      <c r="J159" s="328">
        <v>0</v>
      </c>
      <c r="K159" s="328">
        <v>0</v>
      </c>
      <c r="L159" s="328">
        <v>0</v>
      </c>
      <c r="M159" s="328">
        <v>0</v>
      </c>
      <c r="N159" s="328">
        <v>0</v>
      </c>
      <c r="O159" s="328">
        <v>0</v>
      </c>
      <c r="P159" s="328">
        <v>0</v>
      </c>
      <c r="Q159" s="328">
        <v>0</v>
      </c>
      <c r="R159" s="328">
        <v>0</v>
      </c>
      <c r="S159" s="328">
        <v>0</v>
      </c>
      <c r="T159" s="328">
        <v>0</v>
      </c>
      <c r="U159" s="328">
        <v>0</v>
      </c>
      <c r="V159" s="332">
        <v>1198.556</v>
      </c>
      <c r="W159" s="328">
        <v>0.97099999999989</v>
      </c>
      <c r="X159" s="333">
        <v>104676.177</v>
      </c>
      <c r="AA159" s="201"/>
      <c r="AB159" s="201"/>
      <c r="AC159" s="202"/>
      <c r="AD159" s="214"/>
      <c r="AG159" s="203"/>
      <c r="AH159" s="204"/>
    </row>
    <row r="160" spans="1:34" s="200" customFormat="1" ht="27">
      <c r="A160" s="329" t="s">
        <v>14</v>
      </c>
      <c r="B160" s="215" t="s">
        <v>402</v>
      </c>
      <c r="C160" s="330"/>
      <c r="D160" s="329"/>
      <c r="E160" s="281">
        <v>86216.33499999999</v>
      </c>
      <c r="F160" s="205">
        <v>70131.016</v>
      </c>
      <c r="G160" s="328">
        <v>172.00499999999997</v>
      </c>
      <c r="H160" s="333">
        <v>53.964</v>
      </c>
      <c r="I160" s="328">
        <v>117.07</v>
      </c>
      <c r="J160" s="231">
        <v>0</v>
      </c>
      <c r="K160" s="231">
        <v>0</v>
      </c>
      <c r="L160" s="231">
        <v>0</v>
      </c>
      <c r="M160" s="231">
        <v>0</v>
      </c>
      <c r="N160" s="231">
        <v>0</v>
      </c>
      <c r="O160" s="231">
        <v>0</v>
      </c>
      <c r="P160" s="231">
        <v>0</v>
      </c>
      <c r="Q160" s="231">
        <v>0</v>
      </c>
      <c r="R160" s="231">
        <v>0</v>
      </c>
      <c r="S160" s="231">
        <v>0</v>
      </c>
      <c r="T160" s="231">
        <v>0</v>
      </c>
      <c r="U160" s="231">
        <v>0</v>
      </c>
      <c r="V160" s="332">
        <v>117.07</v>
      </c>
      <c r="W160" s="328">
        <v>0.9710000000000036</v>
      </c>
      <c r="X160" s="333">
        <v>70077.052</v>
      </c>
      <c r="AA160" s="201"/>
      <c r="AB160" s="201"/>
      <c r="AC160" s="202"/>
      <c r="AD160" s="214"/>
      <c r="AG160" s="203"/>
      <c r="AH160" s="204"/>
    </row>
    <row r="161" spans="1:34" s="200" customFormat="1" ht="13.5">
      <c r="A161" s="252"/>
      <c r="B161" s="252" t="s">
        <v>115</v>
      </c>
      <c r="C161" s="252"/>
      <c r="D161" s="252"/>
      <c r="E161" s="282"/>
      <c r="F161" s="283"/>
      <c r="G161" s="282"/>
      <c r="H161" s="284"/>
      <c r="I161" s="282"/>
      <c r="J161" s="282"/>
      <c r="K161" s="282"/>
      <c r="L161" s="282"/>
      <c r="M161" s="282"/>
      <c r="N161" s="282"/>
      <c r="O161" s="282"/>
      <c r="P161" s="282"/>
      <c r="Q161" s="282"/>
      <c r="R161" s="282"/>
      <c r="S161" s="282"/>
      <c r="T161" s="282"/>
      <c r="U161" s="282"/>
      <c r="V161" s="285"/>
      <c r="W161" s="282"/>
      <c r="X161" s="284"/>
      <c r="AA161" s="201"/>
      <c r="AB161" s="201"/>
      <c r="AC161" s="202"/>
      <c r="AD161" s="214"/>
      <c r="AG161" s="203"/>
      <c r="AH161" s="204"/>
    </row>
    <row r="162" spans="1:34" s="200" customFormat="1" ht="13.5">
      <c r="A162" s="252"/>
      <c r="B162" s="252" t="s">
        <v>403</v>
      </c>
      <c r="C162" s="252"/>
      <c r="D162" s="252"/>
      <c r="E162" s="282"/>
      <c r="F162" s="283"/>
      <c r="G162" s="282"/>
      <c r="H162" s="284"/>
      <c r="I162" s="282"/>
      <c r="J162" s="282"/>
      <c r="K162" s="282"/>
      <c r="L162" s="282"/>
      <c r="M162" s="282"/>
      <c r="N162" s="282"/>
      <c r="O162" s="282"/>
      <c r="P162" s="282"/>
      <c r="Q162" s="282"/>
      <c r="R162" s="282"/>
      <c r="S162" s="282"/>
      <c r="T162" s="282"/>
      <c r="U162" s="282"/>
      <c r="V162" s="285"/>
      <c r="W162" s="282"/>
      <c r="X162" s="284"/>
      <c r="AA162" s="201"/>
      <c r="AB162" s="201"/>
      <c r="AC162" s="202"/>
      <c r="AD162" s="214"/>
      <c r="AG162" s="203"/>
      <c r="AH162" s="204"/>
    </row>
    <row r="163" spans="1:34" s="200" customFormat="1" ht="13.5">
      <c r="A163" s="329">
        <v>1</v>
      </c>
      <c r="B163" s="215" t="s">
        <v>298</v>
      </c>
      <c r="C163" s="330"/>
      <c r="D163" s="329"/>
      <c r="E163" s="328"/>
      <c r="F163" s="205"/>
      <c r="G163" s="328"/>
      <c r="H163" s="333"/>
      <c r="I163" s="328"/>
      <c r="J163" s="328"/>
      <c r="K163" s="328"/>
      <c r="L163" s="328"/>
      <c r="M163" s="328">
        <v>0</v>
      </c>
      <c r="N163" s="328">
        <v>0</v>
      </c>
      <c r="O163" s="328">
        <v>0</v>
      </c>
      <c r="P163" s="328">
        <v>0</v>
      </c>
      <c r="Q163" s="328">
        <v>0</v>
      </c>
      <c r="R163" s="328">
        <v>0</v>
      </c>
      <c r="S163" s="328">
        <v>0</v>
      </c>
      <c r="T163" s="328">
        <v>0</v>
      </c>
      <c r="U163" s="328">
        <v>0</v>
      </c>
      <c r="V163" s="332">
        <v>0</v>
      </c>
      <c r="W163" s="328">
        <v>0</v>
      </c>
      <c r="X163" s="333">
        <v>0</v>
      </c>
      <c r="AA163" s="201"/>
      <c r="AB163" s="201"/>
      <c r="AC163" s="202"/>
      <c r="AD163" s="214"/>
      <c r="AG163" s="203"/>
      <c r="AH163" s="204"/>
    </row>
    <row r="164" spans="1:34" s="200" customFormat="1" ht="13.5">
      <c r="A164" s="329"/>
      <c r="B164" s="240" t="s">
        <v>299</v>
      </c>
      <c r="C164" s="330"/>
      <c r="D164" s="329"/>
      <c r="E164" s="328"/>
      <c r="F164" s="205"/>
      <c r="G164" s="328"/>
      <c r="H164" s="333"/>
      <c r="I164" s="328"/>
      <c r="J164" s="328"/>
      <c r="K164" s="328"/>
      <c r="L164" s="328"/>
      <c r="M164" s="328"/>
      <c r="N164" s="328"/>
      <c r="O164" s="328"/>
      <c r="P164" s="328"/>
      <c r="Q164" s="328"/>
      <c r="R164" s="328"/>
      <c r="S164" s="328"/>
      <c r="T164" s="328"/>
      <c r="U164" s="328"/>
      <c r="V164" s="332"/>
      <c r="W164" s="328"/>
      <c r="X164" s="333"/>
      <c r="AA164" s="201"/>
      <c r="AB164" s="201"/>
      <c r="AC164" s="202"/>
      <c r="AD164" s="214"/>
      <c r="AG164" s="203"/>
      <c r="AH164" s="204"/>
    </row>
    <row r="165" spans="1:34" s="200" customFormat="1" ht="13.5">
      <c r="A165" s="329"/>
      <c r="B165" s="240" t="s">
        <v>300</v>
      </c>
      <c r="C165" s="330"/>
      <c r="D165" s="329"/>
      <c r="E165" s="328"/>
      <c r="F165" s="205"/>
      <c r="G165" s="328"/>
      <c r="H165" s="333"/>
      <c r="I165" s="328"/>
      <c r="J165" s="328"/>
      <c r="K165" s="328"/>
      <c r="L165" s="328"/>
      <c r="M165" s="328"/>
      <c r="N165" s="328"/>
      <c r="O165" s="328"/>
      <c r="P165" s="328"/>
      <c r="Q165" s="328"/>
      <c r="R165" s="328"/>
      <c r="S165" s="328"/>
      <c r="T165" s="328"/>
      <c r="U165" s="328"/>
      <c r="V165" s="332"/>
      <c r="W165" s="328"/>
      <c r="X165" s="333"/>
      <c r="AA165" s="201"/>
      <c r="AB165" s="201"/>
      <c r="AC165" s="202"/>
      <c r="AD165" s="214"/>
      <c r="AG165" s="203"/>
      <c r="AH165" s="204"/>
    </row>
    <row r="166" spans="1:34" s="200" customFormat="1" ht="13.5">
      <c r="A166" s="329"/>
      <c r="B166" s="240" t="s">
        <v>301</v>
      </c>
      <c r="C166" s="330"/>
      <c r="D166" s="329"/>
      <c r="E166" s="328"/>
      <c r="F166" s="205"/>
      <c r="G166" s="328"/>
      <c r="H166" s="333"/>
      <c r="I166" s="328"/>
      <c r="J166" s="328"/>
      <c r="K166" s="328"/>
      <c r="L166" s="328"/>
      <c r="M166" s="328"/>
      <c r="N166" s="328"/>
      <c r="O166" s="328"/>
      <c r="P166" s="328"/>
      <c r="Q166" s="328"/>
      <c r="R166" s="328"/>
      <c r="S166" s="328"/>
      <c r="T166" s="328"/>
      <c r="U166" s="328"/>
      <c r="V166" s="332"/>
      <c r="W166" s="328"/>
      <c r="X166" s="333"/>
      <c r="AA166" s="201"/>
      <c r="AB166" s="201"/>
      <c r="AC166" s="202"/>
      <c r="AD166" s="214"/>
      <c r="AG166" s="203"/>
      <c r="AH166" s="204"/>
    </row>
    <row r="167" spans="1:34" s="200" customFormat="1" ht="13.5">
      <c r="A167" s="329"/>
      <c r="B167" s="251" t="s">
        <v>302</v>
      </c>
      <c r="C167" s="330"/>
      <c r="D167" s="329"/>
      <c r="E167" s="328"/>
      <c r="F167" s="205"/>
      <c r="G167" s="328"/>
      <c r="H167" s="333"/>
      <c r="I167" s="328"/>
      <c r="J167" s="328"/>
      <c r="K167" s="328"/>
      <c r="L167" s="328"/>
      <c r="M167" s="328"/>
      <c r="N167" s="328"/>
      <c r="O167" s="328"/>
      <c r="P167" s="328"/>
      <c r="Q167" s="328"/>
      <c r="R167" s="328"/>
      <c r="S167" s="328"/>
      <c r="T167" s="328"/>
      <c r="U167" s="328"/>
      <c r="V167" s="332"/>
      <c r="W167" s="328"/>
      <c r="X167" s="333"/>
      <c r="AA167" s="201"/>
      <c r="AB167" s="201"/>
      <c r="AC167" s="202"/>
      <c r="AD167" s="214"/>
      <c r="AG167" s="203"/>
      <c r="AH167" s="204"/>
    </row>
    <row r="168" spans="1:34" s="200" customFormat="1" ht="13.5">
      <c r="A168" s="329"/>
      <c r="B168" s="240" t="s">
        <v>303</v>
      </c>
      <c r="C168" s="330"/>
      <c r="D168" s="329"/>
      <c r="E168" s="328"/>
      <c r="F168" s="205"/>
      <c r="G168" s="328"/>
      <c r="H168" s="333"/>
      <c r="I168" s="328"/>
      <c r="J168" s="328"/>
      <c r="K168" s="328"/>
      <c r="L168" s="328"/>
      <c r="M168" s="328"/>
      <c r="N168" s="328"/>
      <c r="O168" s="328"/>
      <c r="P168" s="328"/>
      <c r="Q168" s="328"/>
      <c r="R168" s="328"/>
      <c r="S168" s="328"/>
      <c r="T168" s="328"/>
      <c r="U168" s="328"/>
      <c r="V168" s="332"/>
      <c r="W168" s="328"/>
      <c r="X168" s="333"/>
      <c r="AA168" s="201"/>
      <c r="AB168" s="201"/>
      <c r="AC168" s="202"/>
      <c r="AD168" s="214"/>
      <c r="AG168" s="203"/>
      <c r="AH168" s="204"/>
    </row>
    <row r="169" spans="1:34" s="200" customFormat="1" ht="13.5">
      <c r="A169" s="329"/>
      <c r="B169" s="251" t="s">
        <v>309</v>
      </c>
      <c r="C169" s="330"/>
      <c r="D169" s="329"/>
      <c r="E169" s="328"/>
      <c r="F169" s="205"/>
      <c r="G169" s="328"/>
      <c r="H169" s="333"/>
      <c r="I169" s="328"/>
      <c r="J169" s="328"/>
      <c r="K169" s="328"/>
      <c r="L169" s="328"/>
      <c r="M169" s="328"/>
      <c r="N169" s="328"/>
      <c r="O169" s="328"/>
      <c r="P169" s="328"/>
      <c r="Q169" s="328"/>
      <c r="R169" s="328"/>
      <c r="S169" s="328"/>
      <c r="T169" s="328"/>
      <c r="U169" s="328"/>
      <c r="V169" s="332"/>
      <c r="W169" s="328"/>
      <c r="X169" s="333"/>
      <c r="AA169" s="201"/>
      <c r="AB169" s="201"/>
      <c r="AC169" s="202"/>
      <c r="AD169" s="214"/>
      <c r="AG169" s="203"/>
      <c r="AH169" s="204"/>
    </row>
    <row r="170" spans="1:34" s="200" customFormat="1" ht="13.5">
      <c r="A170" s="329"/>
      <c r="B170" s="240" t="s">
        <v>310</v>
      </c>
      <c r="C170" s="330"/>
      <c r="D170" s="329"/>
      <c r="E170" s="328"/>
      <c r="F170" s="205"/>
      <c r="G170" s="328"/>
      <c r="H170" s="333"/>
      <c r="I170" s="328"/>
      <c r="J170" s="328"/>
      <c r="K170" s="328"/>
      <c r="L170" s="328"/>
      <c r="M170" s="328"/>
      <c r="N170" s="328"/>
      <c r="O170" s="328"/>
      <c r="P170" s="328"/>
      <c r="Q170" s="328"/>
      <c r="R170" s="328"/>
      <c r="S170" s="328"/>
      <c r="T170" s="328"/>
      <c r="U170" s="328"/>
      <c r="V170" s="332"/>
      <c r="W170" s="328"/>
      <c r="X170" s="333"/>
      <c r="AA170" s="201"/>
      <c r="AB170" s="201"/>
      <c r="AC170" s="202"/>
      <c r="AD170" s="214"/>
      <c r="AG170" s="203"/>
      <c r="AH170" s="204"/>
    </row>
    <row r="171" spans="1:34" s="200" customFormat="1" ht="13.5">
      <c r="A171" s="329"/>
      <c r="B171" s="240" t="s">
        <v>311</v>
      </c>
      <c r="C171" s="330"/>
      <c r="D171" s="329"/>
      <c r="E171" s="328"/>
      <c r="F171" s="205"/>
      <c r="G171" s="328"/>
      <c r="H171" s="333"/>
      <c r="I171" s="328"/>
      <c r="J171" s="328"/>
      <c r="K171" s="328"/>
      <c r="L171" s="328"/>
      <c r="M171" s="328"/>
      <c r="N171" s="328"/>
      <c r="O171" s="328"/>
      <c r="P171" s="328"/>
      <c r="Q171" s="328"/>
      <c r="R171" s="328"/>
      <c r="S171" s="328"/>
      <c r="T171" s="328"/>
      <c r="U171" s="328"/>
      <c r="V171" s="332"/>
      <c r="W171" s="328"/>
      <c r="X171" s="333"/>
      <c r="AA171" s="201"/>
      <c r="AB171" s="201"/>
      <c r="AC171" s="202"/>
      <c r="AD171" s="214"/>
      <c r="AG171" s="203"/>
      <c r="AH171" s="204"/>
    </row>
    <row r="172" spans="1:34" s="200" customFormat="1" ht="13.5">
      <c r="A172" s="329"/>
      <c r="B172" s="240" t="s">
        <v>312</v>
      </c>
      <c r="C172" s="330"/>
      <c r="D172" s="329"/>
      <c r="E172" s="328"/>
      <c r="F172" s="205"/>
      <c r="G172" s="328"/>
      <c r="H172" s="333"/>
      <c r="I172" s="328"/>
      <c r="J172" s="328"/>
      <c r="K172" s="328"/>
      <c r="L172" s="328"/>
      <c r="M172" s="328"/>
      <c r="N172" s="328"/>
      <c r="O172" s="328"/>
      <c r="P172" s="328"/>
      <c r="Q172" s="328"/>
      <c r="R172" s="328"/>
      <c r="S172" s="328"/>
      <c r="T172" s="328"/>
      <c r="U172" s="328"/>
      <c r="V172" s="332"/>
      <c r="W172" s="328"/>
      <c r="X172" s="333"/>
      <c r="AA172" s="201"/>
      <c r="AB172" s="201"/>
      <c r="AC172" s="202"/>
      <c r="AD172" s="214"/>
      <c r="AG172" s="203"/>
      <c r="AH172" s="204"/>
    </row>
    <row r="173" spans="1:34" s="200" customFormat="1" ht="13.5">
      <c r="A173" s="329"/>
      <c r="B173" s="240" t="s">
        <v>313</v>
      </c>
      <c r="C173" s="330"/>
      <c r="D173" s="329"/>
      <c r="E173" s="328"/>
      <c r="F173" s="205"/>
      <c r="G173" s="328"/>
      <c r="H173" s="333"/>
      <c r="I173" s="328"/>
      <c r="J173" s="328"/>
      <c r="K173" s="328"/>
      <c r="L173" s="328"/>
      <c r="M173" s="328"/>
      <c r="N173" s="328"/>
      <c r="O173" s="328"/>
      <c r="P173" s="328"/>
      <c r="Q173" s="328"/>
      <c r="R173" s="328"/>
      <c r="S173" s="328"/>
      <c r="T173" s="328"/>
      <c r="U173" s="328"/>
      <c r="V173" s="332"/>
      <c r="W173" s="328"/>
      <c r="X173" s="333"/>
      <c r="AA173" s="201"/>
      <c r="AB173" s="201"/>
      <c r="AC173" s="202"/>
      <c r="AD173" s="214"/>
      <c r="AG173" s="203"/>
      <c r="AH173" s="204"/>
    </row>
    <row r="174" spans="1:34" s="200" customFormat="1" ht="13.5">
      <c r="A174" s="329">
        <v>2</v>
      </c>
      <c r="B174" s="215" t="s">
        <v>314</v>
      </c>
      <c r="C174" s="330"/>
      <c r="D174" s="329"/>
      <c r="E174" s="328">
        <v>86216.33499999999</v>
      </c>
      <c r="F174" s="205">
        <v>70131.016</v>
      </c>
      <c r="G174" s="328">
        <v>172.00499999999997</v>
      </c>
      <c r="H174" s="333">
        <v>53.964</v>
      </c>
      <c r="I174" s="328">
        <v>117.07</v>
      </c>
      <c r="J174" s="328">
        <v>0</v>
      </c>
      <c r="K174" s="328">
        <v>0</v>
      </c>
      <c r="L174" s="328">
        <v>0</v>
      </c>
      <c r="M174" s="328">
        <v>0</v>
      </c>
      <c r="N174" s="328">
        <v>0</v>
      </c>
      <c r="O174" s="328">
        <v>0</v>
      </c>
      <c r="P174" s="328">
        <v>0</v>
      </c>
      <c r="Q174" s="328">
        <v>0</v>
      </c>
      <c r="R174" s="328">
        <v>0</v>
      </c>
      <c r="S174" s="328">
        <v>0</v>
      </c>
      <c r="T174" s="328">
        <v>0</v>
      </c>
      <c r="U174" s="328">
        <v>0</v>
      </c>
      <c r="V174" s="332">
        <v>117.07</v>
      </c>
      <c r="W174" s="328">
        <v>0.9710000000000036</v>
      </c>
      <c r="X174" s="333">
        <v>70077.052</v>
      </c>
      <c r="AA174" s="201"/>
      <c r="AB174" s="201"/>
      <c r="AC174" s="202"/>
      <c r="AD174" s="214"/>
      <c r="AG174" s="203"/>
      <c r="AH174" s="204"/>
    </row>
    <row r="175" spans="1:34" s="236" customFormat="1" ht="13.5">
      <c r="A175" s="329"/>
      <c r="B175" s="235" t="s">
        <v>299</v>
      </c>
      <c r="C175" s="330"/>
      <c r="D175" s="329"/>
      <c r="E175" s="328"/>
      <c r="F175" s="205"/>
      <c r="G175" s="328"/>
      <c r="H175" s="333"/>
      <c r="I175" s="328"/>
      <c r="J175" s="328"/>
      <c r="K175" s="328"/>
      <c r="L175" s="328"/>
      <c r="M175" s="328"/>
      <c r="N175" s="328"/>
      <c r="O175" s="328"/>
      <c r="P175" s="328"/>
      <c r="Q175" s="328"/>
      <c r="R175" s="328"/>
      <c r="S175" s="328"/>
      <c r="T175" s="328"/>
      <c r="U175" s="328"/>
      <c r="V175" s="332"/>
      <c r="W175" s="328"/>
      <c r="X175" s="333"/>
      <c r="AA175" s="201"/>
      <c r="AB175" s="201"/>
      <c r="AC175" s="237"/>
      <c r="AD175" s="214"/>
      <c r="AG175" s="213"/>
      <c r="AH175" s="238"/>
    </row>
    <row r="176" spans="1:34" s="236" customFormat="1" ht="13.5">
      <c r="A176" s="329"/>
      <c r="B176" s="235" t="s">
        <v>300</v>
      </c>
      <c r="C176" s="330"/>
      <c r="D176" s="329"/>
      <c r="E176" s="328"/>
      <c r="F176" s="205"/>
      <c r="G176" s="328"/>
      <c r="H176" s="333"/>
      <c r="I176" s="328"/>
      <c r="J176" s="328"/>
      <c r="K176" s="328"/>
      <c r="L176" s="328"/>
      <c r="M176" s="328"/>
      <c r="N176" s="328"/>
      <c r="O176" s="328"/>
      <c r="P176" s="328"/>
      <c r="Q176" s="328"/>
      <c r="R176" s="328"/>
      <c r="S176" s="328"/>
      <c r="T176" s="328"/>
      <c r="U176" s="328"/>
      <c r="V176" s="332"/>
      <c r="W176" s="328"/>
      <c r="X176" s="333"/>
      <c r="AA176" s="201"/>
      <c r="AB176" s="201"/>
      <c r="AC176" s="237"/>
      <c r="AD176" s="214"/>
      <c r="AG176" s="213"/>
      <c r="AH176" s="238"/>
    </row>
    <row r="177" spans="1:34" s="236" customFormat="1" ht="13.5">
      <c r="A177" s="329"/>
      <c r="B177" s="235" t="s">
        <v>301</v>
      </c>
      <c r="C177" s="286"/>
      <c r="D177" s="262"/>
      <c r="E177" s="328">
        <v>13818.336</v>
      </c>
      <c r="F177" s="205">
        <v>11548.238</v>
      </c>
      <c r="G177" s="328">
        <v>25.18</v>
      </c>
      <c r="H177" s="333">
        <v>0</v>
      </c>
      <c r="I177" s="328">
        <v>25.18</v>
      </c>
      <c r="J177" s="328">
        <v>0</v>
      </c>
      <c r="K177" s="328">
        <v>0</v>
      </c>
      <c r="L177" s="328">
        <v>0</v>
      </c>
      <c r="M177" s="328">
        <v>0</v>
      </c>
      <c r="N177" s="328">
        <v>0</v>
      </c>
      <c r="O177" s="328">
        <v>0</v>
      </c>
      <c r="P177" s="328">
        <v>0</v>
      </c>
      <c r="Q177" s="328">
        <v>0</v>
      </c>
      <c r="R177" s="328">
        <v>0</v>
      </c>
      <c r="S177" s="328">
        <v>0</v>
      </c>
      <c r="T177" s="328">
        <v>0</v>
      </c>
      <c r="U177" s="328">
        <v>0</v>
      </c>
      <c r="V177" s="332">
        <v>25.18</v>
      </c>
      <c r="W177" s="328">
        <v>0</v>
      </c>
      <c r="X177" s="333">
        <v>11548.238</v>
      </c>
      <c r="AA177" s="201"/>
      <c r="AB177" s="201"/>
      <c r="AC177" s="237"/>
      <c r="AD177" s="214"/>
      <c r="AG177" s="213"/>
      <c r="AH177" s="238"/>
    </row>
    <row r="178" spans="1:34" s="200" customFormat="1" ht="27">
      <c r="A178" s="329">
        <v>76</v>
      </c>
      <c r="B178" s="251" t="s">
        <v>427</v>
      </c>
      <c r="C178" s="329" t="s">
        <v>305</v>
      </c>
      <c r="D178" s="262">
        <v>7434352</v>
      </c>
      <c r="E178" s="328">
        <v>13382.875</v>
      </c>
      <c r="F178" s="232">
        <v>11173.353</v>
      </c>
      <c r="G178" s="231">
        <v>23.932</v>
      </c>
      <c r="H178" s="233">
        <v>0</v>
      </c>
      <c r="I178" s="231">
        <v>23.932</v>
      </c>
      <c r="J178" s="328"/>
      <c r="K178" s="328"/>
      <c r="L178" s="328"/>
      <c r="M178" s="328"/>
      <c r="N178" s="328"/>
      <c r="O178" s="231">
        <v>0</v>
      </c>
      <c r="P178" s="328"/>
      <c r="Q178" s="328"/>
      <c r="R178" s="328"/>
      <c r="S178" s="328"/>
      <c r="T178" s="328"/>
      <c r="U178" s="231">
        <v>0</v>
      </c>
      <c r="V178" s="234">
        <v>23.932</v>
      </c>
      <c r="W178" s="231">
        <v>0</v>
      </c>
      <c r="X178" s="233">
        <v>11173.353</v>
      </c>
      <c r="AA178" s="242" t="e">
        <f>INDEX('[3]TONG HOP'!#REF!,MATCH(D178,'[3]TONG HOP'!$L$31:$L$400,0),335)+INDEX('[3]TONG HOP'!#REF!,MATCH(D178,'[3]TONG HOP'!$L$31:$L$400,0),336)</f>
        <v>#REF!</v>
      </c>
      <c r="AB178" s="242" t="e">
        <f>INDEX('[3]TONG HOP'!#REF!,MATCH(D178,'[3]TONG HOP'!$L$31:$L$400,0),367)</f>
        <v>#REF!</v>
      </c>
      <c r="AC178" s="246" t="e">
        <f>INDEX('[3]TONG HOP'!#REF!,MATCH(D178,'[3]TONG HOP'!$L$31:$L$400,0),364)</f>
        <v>#REF!</v>
      </c>
      <c r="AD178" s="242" t="e">
        <f>INDEX('[3]TONG HOP'!#REF!,MATCH(D178,'[3]TONG HOP'!$L$31:$L$400,0),4)</f>
        <v>#REF!</v>
      </c>
      <c r="AE178" s="245">
        <f>INDEX('[4]BIeu 03KBQT'!$A$11:$X$178,MATCH(D178,'[4]BIeu 03KBQT'!$D$11:$D$178,0),6)/1000000</f>
        <v>11173.353</v>
      </c>
      <c r="AF178" s="244">
        <f>AE178-F178</f>
        <v>0</v>
      </c>
      <c r="AG178" s="203">
        <f>INDEX('[4]BIeu 03KBQT'!$A$11:$X$178,MATCH(D178,'[4]BIeu 03KBQT'!$D$11:$D$178,0),24)/1000000</f>
        <v>11173.353</v>
      </c>
      <c r="AH178" s="204">
        <f>AG178-X178</f>
        <v>0</v>
      </c>
    </row>
    <row r="179" spans="1:34" s="200" customFormat="1" ht="20.25" customHeight="1">
      <c r="A179" s="329">
        <v>77</v>
      </c>
      <c r="B179" s="251" t="s">
        <v>428</v>
      </c>
      <c r="C179" s="329" t="s">
        <v>305</v>
      </c>
      <c r="D179" s="287">
        <v>7268194</v>
      </c>
      <c r="E179" s="328">
        <v>435.461</v>
      </c>
      <c r="F179" s="232">
        <v>374.885</v>
      </c>
      <c r="G179" s="231">
        <v>1.248</v>
      </c>
      <c r="H179" s="233">
        <v>0</v>
      </c>
      <c r="I179" s="231">
        <v>1.248</v>
      </c>
      <c r="J179" s="328"/>
      <c r="K179" s="328"/>
      <c r="L179" s="328"/>
      <c r="M179" s="328"/>
      <c r="N179" s="328"/>
      <c r="O179" s="231">
        <v>0</v>
      </c>
      <c r="P179" s="328"/>
      <c r="Q179" s="328"/>
      <c r="R179" s="328"/>
      <c r="S179" s="328"/>
      <c r="T179" s="328"/>
      <c r="U179" s="231">
        <v>0</v>
      </c>
      <c r="V179" s="234">
        <v>1.248</v>
      </c>
      <c r="W179" s="231">
        <v>0</v>
      </c>
      <c r="X179" s="233">
        <v>374.885</v>
      </c>
      <c r="AA179" s="242" t="e">
        <f>INDEX('[3]TONG HOP'!#REF!,MATCH(D179,'[3]TONG HOP'!$L$31:$L$400,0),335)+INDEX('[3]TONG HOP'!#REF!,MATCH(D179,'[3]TONG HOP'!$L$31:$L$400,0),336)</f>
        <v>#REF!</v>
      </c>
      <c r="AB179" s="242" t="e">
        <f>INDEX('[3]TONG HOP'!#REF!,MATCH(D179,'[3]TONG HOP'!$L$31:$L$400,0),367)</f>
        <v>#REF!</v>
      </c>
      <c r="AC179" s="246" t="e">
        <f>INDEX('[3]TONG HOP'!#REF!,MATCH(D179,'[3]TONG HOP'!$L$31:$L$400,0),364)</f>
        <v>#REF!</v>
      </c>
      <c r="AD179" s="242" t="e">
        <f>INDEX('[3]TONG HOP'!#REF!,MATCH(D179,'[3]TONG HOP'!$L$31:$L$400,0),4)</f>
        <v>#REF!</v>
      </c>
      <c r="AE179" s="245">
        <f>INDEX('[4]BIeu 03KBQT'!$A$11:$X$178,MATCH(D179,'[4]BIeu 03KBQT'!$D$11:$D$178,0),6)/1000000</f>
        <v>374.885</v>
      </c>
      <c r="AF179" s="244">
        <f>AE179-F179</f>
        <v>0</v>
      </c>
      <c r="AG179" s="203">
        <f>INDEX('[4]BIeu 03KBQT'!$A$11:$X$178,MATCH(D179,'[4]BIeu 03KBQT'!$D$11:$D$178,0),24)/1000000</f>
        <v>374.885</v>
      </c>
      <c r="AH179" s="204">
        <f>AG179-X179</f>
        <v>0</v>
      </c>
    </row>
    <row r="180" spans="1:34" s="236" customFormat="1" ht="13.5">
      <c r="A180" s="329"/>
      <c r="B180" s="239" t="s">
        <v>302</v>
      </c>
      <c r="C180" s="330"/>
      <c r="D180" s="329"/>
      <c r="E180" s="328"/>
      <c r="F180" s="205"/>
      <c r="G180" s="328"/>
      <c r="H180" s="333"/>
      <c r="I180" s="328"/>
      <c r="J180" s="328"/>
      <c r="K180" s="328"/>
      <c r="L180" s="328"/>
      <c r="M180" s="328"/>
      <c r="N180" s="328"/>
      <c r="O180" s="328"/>
      <c r="P180" s="328"/>
      <c r="Q180" s="328"/>
      <c r="R180" s="328"/>
      <c r="S180" s="328"/>
      <c r="T180" s="328"/>
      <c r="U180" s="328"/>
      <c r="V180" s="332"/>
      <c r="W180" s="328"/>
      <c r="X180" s="333"/>
      <c r="AA180" s="201"/>
      <c r="AB180" s="201"/>
      <c r="AC180" s="237"/>
      <c r="AD180" s="214"/>
      <c r="AG180" s="213"/>
      <c r="AH180" s="238"/>
    </row>
    <row r="181" spans="1:34" s="236" customFormat="1" ht="13.5">
      <c r="A181" s="329"/>
      <c r="B181" s="235" t="s">
        <v>303</v>
      </c>
      <c r="C181" s="330"/>
      <c r="D181" s="329"/>
      <c r="E181" s="328">
        <v>22073.424</v>
      </c>
      <c r="F181" s="205">
        <v>11897.805</v>
      </c>
      <c r="G181" s="328">
        <v>83.782</v>
      </c>
      <c r="H181" s="333">
        <v>53.964</v>
      </c>
      <c r="I181" s="328">
        <v>28.847</v>
      </c>
      <c r="J181" s="328">
        <v>0</v>
      </c>
      <c r="K181" s="328">
        <v>0</v>
      </c>
      <c r="L181" s="328">
        <v>0</v>
      </c>
      <c r="M181" s="328">
        <v>0</v>
      </c>
      <c r="N181" s="328">
        <v>0</v>
      </c>
      <c r="O181" s="328">
        <v>0</v>
      </c>
      <c r="P181" s="328">
        <v>0</v>
      </c>
      <c r="Q181" s="328">
        <v>0</v>
      </c>
      <c r="R181" s="328">
        <v>0</v>
      </c>
      <c r="S181" s="328">
        <v>0</v>
      </c>
      <c r="T181" s="328">
        <v>0</v>
      </c>
      <c r="U181" s="328">
        <v>0</v>
      </c>
      <c r="V181" s="332">
        <v>28.847</v>
      </c>
      <c r="W181" s="328">
        <v>0.9710000000000036</v>
      </c>
      <c r="X181" s="333">
        <v>11843.841</v>
      </c>
      <c r="AA181" s="201"/>
      <c r="AB181" s="201"/>
      <c r="AC181" s="237"/>
      <c r="AD181" s="214"/>
      <c r="AG181" s="213"/>
      <c r="AH181" s="238"/>
    </row>
    <row r="182" spans="1:34" s="200" customFormat="1" ht="13.5">
      <c r="A182" s="329">
        <v>78</v>
      </c>
      <c r="B182" s="251" t="s">
        <v>429</v>
      </c>
      <c r="C182" s="329" t="s">
        <v>305</v>
      </c>
      <c r="D182" s="287">
        <v>7426048</v>
      </c>
      <c r="E182" s="328">
        <v>7491.693</v>
      </c>
      <c r="F182" s="232">
        <v>3445.225</v>
      </c>
      <c r="G182" s="231">
        <v>13.518</v>
      </c>
      <c r="H182" s="233">
        <v>0</v>
      </c>
      <c r="I182" s="231">
        <v>13.518</v>
      </c>
      <c r="J182" s="328"/>
      <c r="K182" s="328"/>
      <c r="L182" s="328"/>
      <c r="M182" s="328"/>
      <c r="N182" s="328"/>
      <c r="O182" s="231">
        <v>0</v>
      </c>
      <c r="P182" s="328"/>
      <c r="Q182" s="328"/>
      <c r="R182" s="328"/>
      <c r="S182" s="328"/>
      <c r="T182" s="328"/>
      <c r="U182" s="231">
        <v>0</v>
      </c>
      <c r="V182" s="234">
        <v>13.518</v>
      </c>
      <c r="W182" s="231">
        <v>0</v>
      </c>
      <c r="X182" s="233">
        <v>3445.225</v>
      </c>
      <c r="AA182" s="242" t="e">
        <f>INDEX('[3]TONG HOP'!#REF!,MATCH(D182,'[3]TONG HOP'!$L$31:$L$400,0),335)+INDEX('[3]TONG HOP'!#REF!,MATCH(D182,'[3]TONG HOP'!$L$31:$L$400,0),336)</f>
        <v>#REF!</v>
      </c>
      <c r="AB182" s="242" t="e">
        <f>INDEX('[3]TONG HOP'!#REF!,MATCH(D182,'[3]TONG HOP'!$L$31:$L$400,0),367)</f>
        <v>#REF!</v>
      </c>
      <c r="AC182" s="246" t="e">
        <f>INDEX('[3]TONG HOP'!#REF!,MATCH(D182,'[3]TONG HOP'!$L$31:$L$400,0),364)</f>
        <v>#REF!</v>
      </c>
      <c r="AD182" s="242" t="e">
        <f>INDEX('[3]TONG HOP'!#REF!,MATCH(D182,'[3]TONG HOP'!$L$31:$L$400,0),4)</f>
        <v>#REF!</v>
      </c>
      <c r="AE182" s="245">
        <f>INDEX('[4]BIeu 03KBQT'!$A$11:$X$178,MATCH(D182,'[4]BIeu 03KBQT'!$D$11:$D$178,0),6)/1000000</f>
        <v>3445.225</v>
      </c>
      <c r="AF182" s="244">
        <f>AE182-F182</f>
        <v>0</v>
      </c>
      <c r="AG182" s="203">
        <f>INDEX('[4]BIeu 03KBQT'!$A$11:$X$178,MATCH(D182,'[4]BIeu 03KBQT'!$D$11:$D$178,0),24)/1000000</f>
        <v>3445.225</v>
      </c>
      <c r="AH182" s="204">
        <f aca="true" t="shared" si="5" ref="AH182:AH189">AG182-X182</f>
        <v>0</v>
      </c>
    </row>
    <row r="183" spans="1:34" s="200" customFormat="1" ht="27">
      <c r="A183" s="329">
        <v>79</v>
      </c>
      <c r="B183" s="251" t="s">
        <v>430</v>
      </c>
      <c r="C183" s="329" t="s">
        <v>305</v>
      </c>
      <c r="D183" s="262">
        <v>7498683</v>
      </c>
      <c r="E183" s="328">
        <v>2952</v>
      </c>
      <c r="F183" s="288">
        <v>153.749</v>
      </c>
      <c r="G183" s="231">
        <v>54.935</v>
      </c>
      <c r="H183" s="233">
        <v>53.964</v>
      </c>
      <c r="I183" s="231">
        <v>0</v>
      </c>
      <c r="J183" s="328"/>
      <c r="K183" s="328"/>
      <c r="L183" s="328"/>
      <c r="M183" s="328"/>
      <c r="N183" s="328"/>
      <c r="O183" s="231">
        <v>0</v>
      </c>
      <c r="P183" s="328"/>
      <c r="Q183" s="328"/>
      <c r="R183" s="328"/>
      <c r="S183" s="328"/>
      <c r="T183" s="328"/>
      <c r="U183" s="231">
        <v>0</v>
      </c>
      <c r="V183" s="234">
        <v>0</v>
      </c>
      <c r="W183" s="231">
        <v>0.9710000000000036</v>
      </c>
      <c r="X183" s="233">
        <v>99.785</v>
      </c>
      <c r="AA183" s="242" t="e">
        <f>INDEX('[3]TONG HOP'!#REF!,MATCH(D183,'[3]TONG HOP'!$L$31:$L$400,0),335)+INDEX('[3]TONG HOP'!#REF!,MATCH(D183,'[3]TONG HOP'!$L$31:$L$400,0),336)</f>
        <v>#REF!</v>
      </c>
      <c r="AB183" s="242" t="e">
        <f>INDEX('[3]TONG HOP'!#REF!,MATCH(D183,'[3]TONG HOP'!$L$31:$L$400,0),367)</f>
        <v>#REF!</v>
      </c>
      <c r="AC183" s="246">
        <v>153.749</v>
      </c>
      <c r="AD183" s="242" t="e">
        <f>INDEX('[3]TONG HOP'!#REF!,MATCH(D183,'[3]TONG HOP'!$L$31:$L$400,0),4)</f>
        <v>#REF!</v>
      </c>
      <c r="AE183" s="245">
        <f>INDEX('[4]BIeu 03KBQT'!$A$11:$X$178,MATCH(D183,'[4]BIeu 03KBQT'!$D$11:$D$178,0),6)/1000000</f>
        <v>99.785</v>
      </c>
      <c r="AF183" s="244">
        <f>AE183-F183</f>
        <v>-53.964</v>
      </c>
      <c r="AG183" s="203">
        <f>INDEX('[4]BIeu 03KBQT'!$A$11:$X$178,MATCH(D183,'[4]BIeu 03KBQT'!$D$11:$D$178,0),24)/1000000</f>
        <v>99.785</v>
      </c>
      <c r="AH183" s="204">
        <f t="shared" si="5"/>
        <v>0</v>
      </c>
    </row>
    <row r="184" spans="1:34" s="200" customFormat="1" ht="27">
      <c r="A184" s="329">
        <v>80</v>
      </c>
      <c r="B184" s="251" t="s">
        <v>431</v>
      </c>
      <c r="C184" s="329" t="s">
        <v>305</v>
      </c>
      <c r="D184" s="262">
        <v>7209156</v>
      </c>
      <c r="E184" s="328">
        <v>9397.731</v>
      </c>
      <c r="F184" s="232">
        <v>7334.427</v>
      </c>
      <c r="G184" s="231">
        <v>11.133</v>
      </c>
      <c r="H184" s="233">
        <v>0</v>
      </c>
      <c r="I184" s="231">
        <v>11.133</v>
      </c>
      <c r="J184" s="328"/>
      <c r="K184" s="328"/>
      <c r="L184" s="328"/>
      <c r="M184" s="328"/>
      <c r="N184" s="328"/>
      <c r="O184" s="231">
        <v>0</v>
      </c>
      <c r="P184" s="328"/>
      <c r="Q184" s="328"/>
      <c r="R184" s="328"/>
      <c r="S184" s="328"/>
      <c r="T184" s="328"/>
      <c r="U184" s="231">
        <v>0</v>
      </c>
      <c r="V184" s="234">
        <v>11.133</v>
      </c>
      <c r="W184" s="231">
        <v>0</v>
      </c>
      <c r="X184" s="233">
        <v>7334.427</v>
      </c>
      <c r="AA184" s="242" t="e">
        <f>INDEX('[3]TONG HOP'!#REF!,MATCH(D184,'[3]TONG HOP'!$L$31:$L$400,0),335)+INDEX('[3]TONG HOP'!#REF!,MATCH(D184,'[3]TONG HOP'!$L$31:$L$400,0),336)</f>
        <v>#REF!</v>
      </c>
      <c r="AB184" s="242" t="e">
        <f>INDEX('[3]TONG HOP'!#REF!,MATCH(D184,'[3]TONG HOP'!$L$31:$L$400,0),367)</f>
        <v>#REF!</v>
      </c>
      <c r="AC184" s="246" t="e">
        <f>INDEX('[3]TONG HOP'!#REF!,MATCH(D184,'[3]TONG HOP'!$L$31:$L$400,0),364)</f>
        <v>#REF!</v>
      </c>
      <c r="AD184" s="242" t="e">
        <f>INDEX('[3]TONG HOP'!#REF!,MATCH(D184,'[3]TONG HOP'!$L$31:$L$400,0),4)</f>
        <v>#REF!</v>
      </c>
      <c r="AE184" s="245">
        <f>INDEX('[4]BIeu 03KBQT'!$A$11:$X$178,MATCH(D184,'[4]BIeu 03KBQT'!$D$11:$D$178,0),6)/1000000</f>
        <v>7334.427</v>
      </c>
      <c r="AF184" s="244">
        <f>AE184-F184</f>
        <v>0</v>
      </c>
      <c r="AG184" s="203">
        <f>INDEX('[4]BIeu 03KBQT'!$A$11:$X$178,MATCH(D184,'[4]BIeu 03KBQT'!$D$11:$D$178,0),24)/1000000</f>
        <v>7334.427</v>
      </c>
      <c r="AH184" s="204">
        <f t="shared" si="5"/>
        <v>0</v>
      </c>
    </row>
    <row r="185" spans="1:34" s="200" customFormat="1" ht="13.5">
      <c r="A185" s="329">
        <v>81</v>
      </c>
      <c r="B185" s="251" t="s">
        <v>432</v>
      </c>
      <c r="C185" s="329" t="s">
        <v>305</v>
      </c>
      <c r="D185" s="287">
        <v>7389624</v>
      </c>
      <c r="E185" s="328">
        <v>2232</v>
      </c>
      <c r="F185" s="232">
        <v>964.404</v>
      </c>
      <c r="G185" s="231">
        <v>4.196</v>
      </c>
      <c r="H185" s="233">
        <v>0</v>
      </c>
      <c r="I185" s="231">
        <v>4.196</v>
      </c>
      <c r="J185" s="328"/>
      <c r="K185" s="328"/>
      <c r="L185" s="328"/>
      <c r="M185" s="328"/>
      <c r="N185" s="328"/>
      <c r="O185" s="231">
        <v>0</v>
      </c>
      <c r="P185" s="328"/>
      <c r="Q185" s="328"/>
      <c r="R185" s="328"/>
      <c r="S185" s="328"/>
      <c r="T185" s="328"/>
      <c r="U185" s="231">
        <v>0</v>
      </c>
      <c r="V185" s="234">
        <v>4.196</v>
      </c>
      <c r="W185" s="231">
        <v>0</v>
      </c>
      <c r="X185" s="233">
        <v>964.404</v>
      </c>
      <c r="AA185" s="242" t="e">
        <f>INDEX('[3]TONG HOP'!#REF!,MATCH(D185,'[3]TONG HOP'!$L$31:$L$400,0),335)+INDEX('[3]TONG HOP'!#REF!,MATCH(D185,'[3]TONG HOP'!$L$31:$L$400,0),336)</f>
        <v>#REF!</v>
      </c>
      <c r="AB185" s="242" t="e">
        <f>INDEX('[3]TONG HOP'!#REF!,MATCH(D185,'[3]TONG HOP'!$L$31:$L$400,0),367)</f>
        <v>#REF!</v>
      </c>
      <c r="AC185" s="246" t="e">
        <f>INDEX('[3]TONG HOP'!#REF!,MATCH(D185,'[3]TONG HOP'!$L$31:$L$400,0),364)</f>
        <v>#REF!</v>
      </c>
      <c r="AD185" s="242" t="e">
        <f>INDEX('[3]TONG HOP'!#REF!,MATCH(D185,'[3]TONG HOP'!$L$31:$L$400,0),4)</f>
        <v>#REF!</v>
      </c>
      <c r="AE185" s="245">
        <f>INDEX('[4]BIeu 03KBQT'!$A$11:$X$178,MATCH(D185,'[4]BIeu 03KBQT'!$D$11:$D$178,0),6)/1000000</f>
        <v>964.404</v>
      </c>
      <c r="AF185" s="244">
        <f>AE185-F185</f>
        <v>0</v>
      </c>
      <c r="AG185" s="203">
        <f>INDEX('[4]BIeu 03KBQT'!$A$11:$X$178,MATCH(D185,'[4]BIeu 03KBQT'!$D$11:$D$178,0),24)/1000000</f>
        <v>964.404</v>
      </c>
      <c r="AH185" s="204">
        <f t="shared" si="5"/>
        <v>0</v>
      </c>
    </row>
    <row r="186" spans="1:34" s="236" customFormat="1" ht="13.5">
      <c r="A186" s="329"/>
      <c r="B186" s="239" t="s">
        <v>309</v>
      </c>
      <c r="C186" s="330"/>
      <c r="D186" s="329"/>
      <c r="E186" s="328">
        <v>47640.575</v>
      </c>
      <c r="F186" s="205">
        <v>44403.555</v>
      </c>
      <c r="G186" s="328">
        <v>57.519999999999996</v>
      </c>
      <c r="H186" s="333">
        <v>0</v>
      </c>
      <c r="I186" s="328">
        <v>57.519999999999996</v>
      </c>
      <c r="J186" s="328">
        <v>0</v>
      </c>
      <c r="K186" s="328">
        <v>0</v>
      </c>
      <c r="L186" s="328">
        <v>0</v>
      </c>
      <c r="M186" s="328">
        <v>0</v>
      </c>
      <c r="N186" s="328">
        <v>0</v>
      </c>
      <c r="O186" s="328">
        <v>0</v>
      </c>
      <c r="P186" s="328">
        <v>0</v>
      </c>
      <c r="Q186" s="328">
        <v>0</v>
      </c>
      <c r="R186" s="328">
        <v>0</v>
      </c>
      <c r="S186" s="328">
        <v>0</v>
      </c>
      <c r="T186" s="328">
        <v>0</v>
      </c>
      <c r="U186" s="328">
        <v>0</v>
      </c>
      <c r="V186" s="332">
        <v>57.519999999999996</v>
      </c>
      <c r="W186" s="328">
        <v>0</v>
      </c>
      <c r="X186" s="333">
        <v>44403.555</v>
      </c>
      <c r="AA186" s="201"/>
      <c r="AB186" s="201"/>
      <c r="AC186" s="237"/>
      <c r="AD186" s="214"/>
      <c r="AE186" s="245"/>
      <c r="AG186" s="213"/>
      <c r="AH186" s="204"/>
    </row>
    <row r="187" spans="1:34" s="200" customFormat="1" ht="27">
      <c r="A187" s="329">
        <v>82</v>
      </c>
      <c r="B187" s="251" t="s">
        <v>433</v>
      </c>
      <c r="C187" s="329" t="s">
        <v>305</v>
      </c>
      <c r="D187" s="262">
        <v>7513261</v>
      </c>
      <c r="E187" s="328">
        <v>1174</v>
      </c>
      <c r="F187" s="232">
        <v>797.298</v>
      </c>
      <c r="G187" s="231">
        <v>16.737</v>
      </c>
      <c r="H187" s="233">
        <v>0</v>
      </c>
      <c r="I187" s="231">
        <v>16.737</v>
      </c>
      <c r="J187" s="328"/>
      <c r="K187" s="328"/>
      <c r="L187" s="328"/>
      <c r="M187" s="328"/>
      <c r="N187" s="328"/>
      <c r="O187" s="231">
        <v>0</v>
      </c>
      <c r="P187" s="328"/>
      <c r="Q187" s="328"/>
      <c r="R187" s="328"/>
      <c r="S187" s="328"/>
      <c r="T187" s="328"/>
      <c r="U187" s="231">
        <v>0</v>
      </c>
      <c r="V187" s="234">
        <v>16.737</v>
      </c>
      <c r="W187" s="231">
        <v>0</v>
      </c>
      <c r="X187" s="233">
        <v>797.298</v>
      </c>
      <c r="AA187" s="242" t="e">
        <f>INDEX('[3]TONG HOP'!#REF!,MATCH(D187,'[3]TONG HOP'!$L$31:$L$400,0),335)+INDEX('[3]TONG HOP'!#REF!,MATCH(D187,'[3]TONG HOP'!$L$31:$L$400,0),336)</f>
        <v>#REF!</v>
      </c>
      <c r="AB187" s="242" t="e">
        <f>INDEX('[3]TONG HOP'!#REF!,MATCH(D187,'[3]TONG HOP'!$L$31:$L$400,0),367)</f>
        <v>#REF!</v>
      </c>
      <c r="AC187" s="246" t="e">
        <f>INDEX('[3]TONG HOP'!#REF!,MATCH(D187,'[3]TONG HOP'!$L$31:$L$400,0),364)</f>
        <v>#REF!</v>
      </c>
      <c r="AD187" s="242" t="e">
        <f>INDEX('[3]TONG HOP'!#REF!,MATCH(D187,'[3]TONG HOP'!$L$31:$L$400,0),4)</f>
        <v>#REF!</v>
      </c>
      <c r="AE187" s="245">
        <f>INDEX('[4]BIeu 03KBQT'!$A$11:$X$178,MATCH(D187,'[4]BIeu 03KBQT'!$D$11:$D$178,0),6)/1000000</f>
        <v>797.298</v>
      </c>
      <c r="AF187" s="244">
        <f>AE187-F187</f>
        <v>0</v>
      </c>
      <c r="AG187" s="203">
        <f>INDEX('[4]BIeu 03KBQT'!$A$11:$X$178,MATCH(D187,'[4]BIeu 03KBQT'!$D$11:$D$178,0),24)/1000000</f>
        <v>797.298</v>
      </c>
      <c r="AH187" s="204">
        <f t="shared" si="5"/>
        <v>0</v>
      </c>
    </row>
    <row r="188" spans="1:34" s="200" customFormat="1" ht="54">
      <c r="A188" s="329">
        <v>83</v>
      </c>
      <c r="B188" s="251" t="s">
        <v>434</v>
      </c>
      <c r="C188" s="329" t="s">
        <v>305</v>
      </c>
      <c r="D188" s="262">
        <v>7564169</v>
      </c>
      <c r="E188" s="328">
        <v>1706.575</v>
      </c>
      <c r="F188" s="232">
        <v>1205.041</v>
      </c>
      <c r="G188" s="231">
        <v>25.362</v>
      </c>
      <c r="H188" s="233">
        <v>0</v>
      </c>
      <c r="I188" s="231">
        <v>25.362</v>
      </c>
      <c r="J188" s="328"/>
      <c r="K188" s="328"/>
      <c r="L188" s="328"/>
      <c r="M188" s="328"/>
      <c r="N188" s="328"/>
      <c r="O188" s="231">
        <v>0</v>
      </c>
      <c r="P188" s="328"/>
      <c r="Q188" s="328"/>
      <c r="R188" s="328"/>
      <c r="S188" s="328"/>
      <c r="T188" s="328"/>
      <c r="U188" s="231">
        <v>0</v>
      </c>
      <c r="V188" s="234">
        <v>25.362</v>
      </c>
      <c r="W188" s="231">
        <v>0</v>
      </c>
      <c r="X188" s="233">
        <v>1205.041</v>
      </c>
      <c r="AA188" s="242" t="e">
        <f>INDEX('[3]TONG HOP'!#REF!,MATCH(D188,'[3]TONG HOP'!$L$31:$L$400,0),335)+INDEX('[3]TONG HOP'!#REF!,MATCH(D188,'[3]TONG HOP'!$L$31:$L$400,0),336)</f>
        <v>#REF!</v>
      </c>
      <c r="AB188" s="242" t="e">
        <f>INDEX('[3]TONG HOP'!#REF!,MATCH(D188,'[3]TONG HOP'!$L$31:$L$400,0),367)</f>
        <v>#REF!</v>
      </c>
      <c r="AC188" s="246" t="e">
        <f>INDEX('[3]TONG HOP'!#REF!,MATCH(D188,'[3]TONG HOP'!$L$31:$L$400,0),364)</f>
        <v>#REF!</v>
      </c>
      <c r="AD188" s="242" t="e">
        <f>INDEX('[3]TONG HOP'!#REF!,MATCH(D188,'[3]TONG HOP'!$L$31:$L$400,0),4)</f>
        <v>#REF!</v>
      </c>
      <c r="AE188" s="245">
        <f>INDEX('[4]BIeu 03KBQT'!$A$11:$X$178,MATCH(D188,'[4]BIeu 03KBQT'!$D$11:$D$178,0),6)/1000000</f>
        <v>1205.041</v>
      </c>
      <c r="AF188" s="244">
        <f>AE188-F188</f>
        <v>0</v>
      </c>
      <c r="AG188" s="203">
        <f>INDEX('[4]BIeu 03KBQT'!$A$11:$X$178,MATCH(D188,'[4]BIeu 03KBQT'!$D$11:$D$178,0),24)/1000000</f>
        <v>1205.041</v>
      </c>
      <c r="AH188" s="204">
        <f t="shared" si="5"/>
        <v>0</v>
      </c>
    </row>
    <row r="189" spans="1:34" s="200" customFormat="1" ht="13.5">
      <c r="A189" s="329">
        <v>84</v>
      </c>
      <c r="B189" s="251" t="s">
        <v>435</v>
      </c>
      <c r="C189" s="329" t="s">
        <v>305</v>
      </c>
      <c r="D189" s="262">
        <v>7003702</v>
      </c>
      <c r="E189" s="328">
        <v>44760</v>
      </c>
      <c r="F189" s="232">
        <v>42401.216</v>
      </c>
      <c r="G189" s="231">
        <v>15.421</v>
      </c>
      <c r="H189" s="233">
        <v>0</v>
      </c>
      <c r="I189" s="231">
        <v>15.421</v>
      </c>
      <c r="J189" s="328"/>
      <c r="K189" s="328"/>
      <c r="L189" s="328"/>
      <c r="M189" s="328"/>
      <c r="N189" s="328"/>
      <c r="O189" s="231">
        <v>0</v>
      </c>
      <c r="P189" s="328"/>
      <c r="Q189" s="328"/>
      <c r="R189" s="328"/>
      <c r="S189" s="328"/>
      <c r="T189" s="328"/>
      <c r="U189" s="231">
        <v>0</v>
      </c>
      <c r="V189" s="234">
        <v>15.421</v>
      </c>
      <c r="W189" s="231">
        <v>0</v>
      </c>
      <c r="X189" s="233">
        <v>42401.216</v>
      </c>
      <c r="AA189" s="242" t="e">
        <f>INDEX('[3]TONG HOP'!#REF!,MATCH(D189,'[3]TONG HOP'!$L$31:$L$400,0),335)+INDEX('[3]TONG HOP'!#REF!,MATCH(D189,'[3]TONG HOP'!$L$31:$L$400,0),336)</f>
        <v>#REF!</v>
      </c>
      <c r="AB189" s="242" t="e">
        <f>INDEX('[3]TONG HOP'!#REF!,MATCH(D189,'[3]TONG HOP'!$L$31:$L$400,0),367)</f>
        <v>#REF!</v>
      </c>
      <c r="AC189" s="246" t="e">
        <f>INDEX('[3]TONG HOP'!#REF!,MATCH(D189,'[3]TONG HOP'!$L$31:$L$400,0),364)</f>
        <v>#REF!</v>
      </c>
      <c r="AD189" s="242" t="e">
        <f>INDEX('[3]TONG HOP'!#REF!,MATCH(D189,'[3]TONG HOP'!$L$31:$L$400,0),4)</f>
        <v>#REF!</v>
      </c>
      <c r="AE189" s="245">
        <f>INDEX('[4]BIeu 03KBQT'!$A$11:$X$178,MATCH(D189,'[4]BIeu 03KBQT'!$D$11:$D$178,0),6)/1000000</f>
        <v>42401.216</v>
      </c>
      <c r="AF189" s="244">
        <f>AE189-F189</f>
        <v>0</v>
      </c>
      <c r="AG189" s="203">
        <f>INDEX('[4]BIeu 03KBQT'!$A$11:$X$178,MATCH(D189,'[4]BIeu 03KBQT'!$D$11:$D$178,0),24)/1000000</f>
        <v>42401.216</v>
      </c>
      <c r="AH189" s="204">
        <f t="shared" si="5"/>
        <v>0</v>
      </c>
    </row>
    <row r="190" spans="1:34" s="236" customFormat="1" ht="13.5">
      <c r="A190" s="329"/>
      <c r="B190" s="235" t="s">
        <v>310</v>
      </c>
      <c r="C190" s="330"/>
      <c r="D190" s="329"/>
      <c r="E190" s="328"/>
      <c r="F190" s="205"/>
      <c r="G190" s="328"/>
      <c r="H190" s="333"/>
      <c r="I190" s="328"/>
      <c r="J190" s="328"/>
      <c r="K190" s="328"/>
      <c r="L190" s="328"/>
      <c r="M190" s="328"/>
      <c r="N190" s="328"/>
      <c r="O190" s="328"/>
      <c r="P190" s="328"/>
      <c r="Q190" s="328"/>
      <c r="R190" s="328"/>
      <c r="S190" s="328"/>
      <c r="T190" s="328"/>
      <c r="U190" s="328"/>
      <c r="V190" s="332"/>
      <c r="W190" s="328"/>
      <c r="X190" s="333"/>
      <c r="AA190" s="201"/>
      <c r="AB190" s="201"/>
      <c r="AC190" s="237"/>
      <c r="AD190" s="214"/>
      <c r="AG190" s="213"/>
      <c r="AH190" s="238"/>
    </row>
    <row r="191" spans="1:34" s="236" customFormat="1" ht="13.5">
      <c r="A191" s="329"/>
      <c r="B191" s="235" t="s">
        <v>311</v>
      </c>
      <c r="C191" s="330"/>
      <c r="D191" s="329"/>
      <c r="E191" s="328"/>
      <c r="F191" s="205"/>
      <c r="G191" s="328"/>
      <c r="H191" s="333"/>
      <c r="I191" s="328"/>
      <c r="J191" s="328"/>
      <c r="K191" s="328"/>
      <c r="L191" s="328"/>
      <c r="M191" s="328"/>
      <c r="N191" s="328"/>
      <c r="O191" s="328"/>
      <c r="P191" s="328"/>
      <c r="Q191" s="328"/>
      <c r="R191" s="328"/>
      <c r="S191" s="328"/>
      <c r="T191" s="328"/>
      <c r="U191" s="328"/>
      <c r="V191" s="332"/>
      <c r="W191" s="328"/>
      <c r="X191" s="333"/>
      <c r="AA191" s="201"/>
      <c r="AB191" s="201"/>
      <c r="AC191" s="237"/>
      <c r="AD191" s="214"/>
      <c r="AG191" s="213"/>
      <c r="AH191" s="238"/>
    </row>
    <row r="192" spans="1:34" s="236" customFormat="1" ht="13.5">
      <c r="A192" s="329"/>
      <c r="B192" s="235" t="s">
        <v>312</v>
      </c>
      <c r="C192" s="330"/>
      <c r="D192" s="329"/>
      <c r="E192" s="328">
        <v>2684</v>
      </c>
      <c r="F192" s="205">
        <v>2281.4179999999997</v>
      </c>
      <c r="G192" s="328">
        <v>5.523</v>
      </c>
      <c r="H192" s="333">
        <v>0</v>
      </c>
      <c r="I192" s="328">
        <v>5.523</v>
      </c>
      <c r="J192" s="328">
        <v>0</v>
      </c>
      <c r="K192" s="328">
        <v>0</v>
      </c>
      <c r="L192" s="328">
        <v>0</v>
      </c>
      <c r="M192" s="328">
        <v>0</v>
      </c>
      <c r="N192" s="328">
        <v>0</v>
      </c>
      <c r="O192" s="328">
        <v>0</v>
      </c>
      <c r="P192" s="328">
        <v>0</v>
      </c>
      <c r="Q192" s="328">
        <v>0</v>
      </c>
      <c r="R192" s="328">
        <v>0</v>
      </c>
      <c r="S192" s="328">
        <v>0</v>
      </c>
      <c r="T192" s="328">
        <v>0</v>
      </c>
      <c r="U192" s="328">
        <v>0</v>
      </c>
      <c r="V192" s="332">
        <v>5.523</v>
      </c>
      <c r="W192" s="328">
        <v>0</v>
      </c>
      <c r="X192" s="333">
        <v>2281.4179999999997</v>
      </c>
      <c r="AA192" s="201"/>
      <c r="AB192" s="201"/>
      <c r="AC192" s="237"/>
      <c r="AD192" s="214"/>
      <c r="AG192" s="213"/>
      <c r="AH192" s="238"/>
    </row>
    <row r="193" spans="1:34" s="200" customFormat="1" ht="18" customHeight="1">
      <c r="A193" s="329">
        <v>85</v>
      </c>
      <c r="B193" s="251" t="s">
        <v>436</v>
      </c>
      <c r="C193" s="329" t="s">
        <v>305</v>
      </c>
      <c r="D193" s="262">
        <v>7498015</v>
      </c>
      <c r="E193" s="328">
        <v>2684</v>
      </c>
      <c r="F193" s="232">
        <v>2281.4179999999997</v>
      </c>
      <c r="G193" s="231">
        <v>5.523</v>
      </c>
      <c r="H193" s="233">
        <v>0</v>
      </c>
      <c r="I193" s="231">
        <v>5.523</v>
      </c>
      <c r="J193" s="328"/>
      <c r="K193" s="328"/>
      <c r="L193" s="328"/>
      <c r="M193" s="328"/>
      <c r="N193" s="328"/>
      <c r="O193" s="231">
        <v>0</v>
      </c>
      <c r="P193" s="328"/>
      <c r="Q193" s="328"/>
      <c r="R193" s="328"/>
      <c r="S193" s="328"/>
      <c r="T193" s="328"/>
      <c r="U193" s="231">
        <v>0</v>
      </c>
      <c r="V193" s="234">
        <v>5.523</v>
      </c>
      <c r="W193" s="231">
        <v>0</v>
      </c>
      <c r="X193" s="233">
        <v>2281.4179999999997</v>
      </c>
      <c r="AA193" s="242" t="e">
        <f>INDEX('[3]TONG HOP'!#REF!,MATCH(D193,'[3]TONG HOP'!$L$31:$L$400,0),335)+INDEX('[3]TONG HOP'!#REF!,MATCH(D193,'[3]TONG HOP'!$L$31:$L$400,0),336)</f>
        <v>#REF!</v>
      </c>
      <c r="AB193" s="242" t="e">
        <f>INDEX('[3]TONG HOP'!#REF!,MATCH(D193,'[3]TONG HOP'!$L$31:$L$400,0),367)</f>
        <v>#REF!</v>
      </c>
      <c r="AC193" s="246" t="e">
        <f>INDEX('[3]TONG HOP'!#REF!,MATCH(D193,'[3]TONG HOP'!$L$31:$L$400,0),364)</f>
        <v>#REF!</v>
      </c>
      <c r="AD193" s="242" t="e">
        <f>INDEX('[3]TONG HOP'!#REF!,MATCH(D193,'[3]TONG HOP'!$L$31:$L$400,0),4)</f>
        <v>#REF!</v>
      </c>
      <c r="AE193" s="245">
        <f>INDEX('[4]BIeu 03KBQT'!$A$11:$X$178,MATCH(D193,'[4]BIeu 03KBQT'!$D$11:$D$178,0),6)/1000000</f>
        <v>2281.418</v>
      </c>
      <c r="AF193" s="244">
        <f>AE193-F193</f>
        <v>0</v>
      </c>
      <c r="AG193" s="203">
        <f>INDEX('[4]BIeu 03KBQT'!$A$11:$X$178,MATCH(D193,'[4]BIeu 03KBQT'!$D$11:$D$178,0),24)/1000000</f>
        <v>2281.418</v>
      </c>
      <c r="AH193" s="204">
        <f>AG193-X193</f>
        <v>0</v>
      </c>
    </row>
    <row r="194" spans="1:34" s="200" customFormat="1" ht="13.5">
      <c r="A194" s="329"/>
      <c r="B194" s="240" t="s">
        <v>313</v>
      </c>
      <c r="C194" s="330"/>
      <c r="D194" s="329"/>
      <c r="E194" s="328"/>
      <c r="F194" s="205"/>
      <c r="G194" s="328"/>
      <c r="H194" s="333"/>
      <c r="I194" s="328"/>
      <c r="J194" s="328"/>
      <c r="K194" s="328"/>
      <c r="L194" s="328"/>
      <c r="M194" s="328"/>
      <c r="N194" s="328"/>
      <c r="O194" s="328"/>
      <c r="P194" s="328"/>
      <c r="Q194" s="328"/>
      <c r="R194" s="328"/>
      <c r="S194" s="328"/>
      <c r="T194" s="328"/>
      <c r="U194" s="328"/>
      <c r="V194" s="332"/>
      <c r="W194" s="328"/>
      <c r="X194" s="333"/>
      <c r="AA194" s="201"/>
      <c r="AB194" s="201"/>
      <c r="AC194" s="202"/>
      <c r="AD194" s="214"/>
      <c r="AG194" s="203"/>
      <c r="AH194" s="204"/>
    </row>
    <row r="195" spans="1:34" s="200" customFormat="1" ht="13.5">
      <c r="A195" s="252"/>
      <c r="B195" s="252" t="s">
        <v>115</v>
      </c>
      <c r="C195" s="252"/>
      <c r="D195" s="252"/>
      <c r="E195" s="282"/>
      <c r="F195" s="283"/>
      <c r="G195" s="282"/>
      <c r="H195" s="284"/>
      <c r="I195" s="282"/>
      <c r="J195" s="282"/>
      <c r="K195" s="282"/>
      <c r="L195" s="282"/>
      <c r="M195" s="282"/>
      <c r="N195" s="282"/>
      <c r="O195" s="282"/>
      <c r="P195" s="282"/>
      <c r="Q195" s="282"/>
      <c r="R195" s="282"/>
      <c r="S195" s="282"/>
      <c r="T195" s="282"/>
      <c r="U195" s="282"/>
      <c r="V195" s="285"/>
      <c r="W195" s="282"/>
      <c r="X195" s="284"/>
      <c r="AA195" s="201"/>
      <c r="AB195" s="201"/>
      <c r="AC195" s="202"/>
      <c r="AD195" s="214"/>
      <c r="AG195" s="203"/>
      <c r="AH195" s="204"/>
    </row>
    <row r="196" spans="1:34" s="200" customFormat="1" ht="13.5">
      <c r="A196" s="252"/>
      <c r="B196" s="252" t="s">
        <v>403</v>
      </c>
      <c r="C196" s="252"/>
      <c r="D196" s="252"/>
      <c r="E196" s="282"/>
      <c r="F196" s="283"/>
      <c r="G196" s="282"/>
      <c r="H196" s="284"/>
      <c r="I196" s="282"/>
      <c r="J196" s="282"/>
      <c r="K196" s="282"/>
      <c r="L196" s="282"/>
      <c r="M196" s="282"/>
      <c r="N196" s="282"/>
      <c r="O196" s="282"/>
      <c r="P196" s="282"/>
      <c r="Q196" s="282"/>
      <c r="R196" s="282"/>
      <c r="S196" s="282"/>
      <c r="T196" s="282"/>
      <c r="U196" s="282"/>
      <c r="V196" s="285"/>
      <c r="W196" s="282"/>
      <c r="X196" s="284"/>
      <c r="AA196" s="201"/>
      <c r="AB196" s="201"/>
      <c r="AC196" s="202"/>
      <c r="AD196" s="214"/>
      <c r="AG196" s="203"/>
      <c r="AH196" s="204"/>
    </row>
    <row r="197" spans="1:34" s="200" customFormat="1" ht="13.5">
      <c r="A197" s="329" t="s">
        <v>25</v>
      </c>
      <c r="B197" s="215" t="s">
        <v>371</v>
      </c>
      <c r="C197" s="330"/>
      <c r="D197" s="329"/>
      <c r="E197" s="328"/>
      <c r="F197" s="205"/>
      <c r="G197" s="328"/>
      <c r="H197" s="333"/>
      <c r="I197" s="328"/>
      <c r="J197" s="328"/>
      <c r="K197" s="328"/>
      <c r="L197" s="328"/>
      <c r="M197" s="328"/>
      <c r="N197" s="328"/>
      <c r="O197" s="328"/>
      <c r="P197" s="328"/>
      <c r="Q197" s="328"/>
      <c r="R197" s="328"/>
      <c r="S197" s="328"/>
      <c r="T197" s="328"/>
      <c r="U197" s="328"/>
      <c r="V197" s="332"/>
      <c r="W197" s="328"/>
      <c r="X197" s="333"/>
      <c r="AA197" s="201"/>
      <c r="AB197" s="201"/>
      <c r="AC197" s="202"/>
      <c r="AD197" s="214"/>
      <c r="AG197" s="203"/>
      <c r="AH197" s="204"/>
    </row>
    <row r="198" spans="1:34" s="200" customFormat="1" ht="14.25">
      <c r="A198" s="252">
        <v>1</v>
      </c>
      <c r="B198" s="253" t="s">
        <v>404</v>
      </c>
      <c r="C198" s="254"/>
      <c r="D198" s="252"/>
      <c r="E198" s="255"/>
      <c r="F198" s="256"/>
      <c r="G198" s="255"/>
      <c r="H198" s="257"/>
      <c r="I198" s="255"/>
      <c r="J198" s="255"/>
      <c r="K198" s="255"/>
      <c r="L198" s="255"/>
      <c r="M198" s="255"/>
      <c r="N198" s="255"/>
      <c r="O198" s="255"/>
      <c r="P198" s="255"/>
      <c r="Q198" s="255"/>
      <c r="R198" s="255"/>
      <c r="S198" s="255"/>
      <c r="T198" s="255"/>
      <c r="U198" s="255"/>
      <c r="V198" s="258"/>
      <c r="W198" s="255"/>
      <c r="X198" s="257"/>
      <c r="AA198" s="201"/>
      <c r="AB198" s="201"/>
      <c r="AC198" s="202"/>
      <c r="AD198" s="214"/>
      <c r="AG198" s="203"/>
      <c r="AH198" s="204"/>
    </row>
    <row r="199" spans="1:34" s="200" customFormat="1" ht="13.5">
      <c r="A199" s="329"/>
      <c r="B199" s="259" t="s">
        <v>405</v>
      </c>
      <c r="C199" s="329"/>
      <c r="D199" s="329"/>
      <c r="E199" s="231"/>
      <c r="F199" s="232"/>
      <c r="G199" s="231"/>
      <c r="H199" s="233"/>
      <c r="I199" s="231"/>
      <c r="J199" s="231"/>
      <c r="K199" s="231"/>
      <c r="L199" s="231"/>
      <c r="M199" s="231"/>
      <c r="N199" s="231"/>
      <c r="O199" s="231"/>
      <c r="P199" s="231"/>
      <c r="Q199" s="231"/>
      <c r="R199" s="231"/>
      <c r="S199" s="231"/>
      <c r="T199" s="231"/>
      <c r="U199" s="231"/>
      <c r="V199" s="234"/>
      <c r="W199" s="231"/>
      <c r="X199" s="233"/>
      <c r="AA199" s="201"/>
      <c r="AB199" s="201"/>
      <c r="AC199" s="202"/>
      <c r="AD199" s="214"/>
      <c r="AG199" s="203"/>
      <c r="AH199" s="204"/>
    </row>
    <row r="200" spans="1:34" s="200" customFormat="1" ht="13.5">
      <c r="A200" s="329" t="s">
        <v>28</v>
      </c>
      <c r="B200" s="215" t="s">
        <v>374</v>
      </c>
      <c r="C200" s="330"/>
      <c r="D200" s="329"/>
      <c r="E200" s="328"/>
      <c r="F200" s="205"/>
      <c r="G200" s="328"/>
      <c r="H200" s="333"/>
      <c r="I200" s="328"/>
      <c r="J200" s="328"/>
      <c r="K200" s="328"/>
      <c r="L200" s="328"/>
      <c r="M200" s="328"/>
      <c r="N200" s="328"/>
      <c r="O200" s="328"/>
      <c r="P200" s="328"/>
      <c r="Q200" s="328"/>
      <c r="R200" s="328"/>
      <c r="S200" s="328"/>
      <c r="T200" s="328"/>
      <c r="U200" s="328"/>
      <c r="V200" s="332"/>
      <c r="W200" s="328"/>
      <c r="X200" s="333"/>
      <c r="AA200" s="201"/>
      <c r="AB200" s="201"/>
      <c r="AC200" s="202"/>
      <c r="AD200" s="214"/>
      <c r="AG200" s="203"/>
      <c r="AH200" s="204"/>
    </row>
    <row r="201" spans="1:34" s="200" customFormat="1" ht="14.25">
      <c r="A201" s="252">
        <v>1</v>
      </c>
      <c r="B201" s="253" t="s">
        <v>406</v>
      </c>
      <c r="C201" s="254"/>
      <c r="D201" s="252"/>
      <c r="E201" s="255"/>
      <c r="F201" s="256"/>
      <c r="G201" s="255"/>
      <c r="H201" s="257"/>
      <c r="I201" s="255"/>
      <c r="J201" s="255"/>
      <c r="K201" s="255"/>
      <c r="L201" s="255"/>
      <c r="M201" s="255"/>
      <c r="N201" s="255"/>
      <c r="O201" s="255"/>
      <c r="P201" s="255"/>
      <c r="Q201" s="255"/>
      <c r="R201" s="255"/>
      <c r="S201" s="255"/>
      <c r="T201" s="255"/>
      <c r="U201" s="255"/>
      <c r="V201" s="258"/>
      <c r="W201" s="255"/>
      <c r="X201" s="257"/>
      <c r="AA201" s="201"/>
      <c r="AB201" s="201"/>
      <c r="AC201" s="202"/>
      <c r="AD201" s="214"/>
      <c r="AG201" s="203"/>
      <c r="AH201" s="204"/>
    </row>
    <row r="202" spans="1:34" s="200" customFormat="1" ht="13.5">
      <c r="A202" s="329"/>
      <c r="B202" s="259" t="s">
        <v>405</v>
      </c>
      <c r="C202" s="329"/>
      <c r="D202" s="329"/>
      <c r="E202" s="231"/>
      <c r="F202" s="232"/>
      <c r="G202" s="231"/>
      <c r="H202" s="233"/>
      <c r="I202" s="231"/>
      <c r="J202" s="231"/>
      <c r="K202" s="231"/>
      <c r="L202" s="231"/>
      <c r="M202" s="231"/>
      <c r="N202" s="231"/>
      <c r="O202" s="231"/>
      <c r="P202" s="231"/>
      <c r="Q202" s="231"/>
      <c r="R202" s="231"/>
      <c r="S202" s="231"/>
      <c r="T202" s="231"/>
      <c r="U202" s="231"/>
      <c r="V202" s="234"/>
      <c r="W202" s="231"/>
      <c r="X202" s="233"/>
      <c r="AA202" s="201"/>
      <c r="AB202" s="201"/>
      <c r="AC202" s="202"/>
      <c r="AD202" s="214"/>
      <c r="AG202" s="203"/>
      <c r="AH202" s="204"/>
    </row>
    <row r="203" spans="1:34" s="236" customFormat="1" ht="13.5">
      <c r="A203" s="329" t="s">
        <v>30</v>
      </c>
      <c r="B203" s="215" t="s">
        <v>376</v>
      </c>
      <c r="C203" s="330"/>
      <c r="D203" s="329"/>
      <c r="E203" s="328">
        <v>47466.701</v>
      </c>
      <c r="F203" s="205">
        <v>34719.762</v>
      </c>
      <c r="G203" s="328">
        <v>1202.123</v>
      </c>
      <c r="H203" s="333">
        <v>120.637</v>
      </c>
      <c r="I203" s="328">
        <v>1081.486</v>
      </c>
      <c r="J203" s="328">
        <v>0</v>
      </c>
      <c r="K203" s="328">
        <v>0</v>
      </c>
      <c r="L203" s="328">
        <v>0</v>
      </c>
      <c r="M203" s="328">
        <v>0</v>
      </c>
      <c r="N203" s="328">
        <v>0</v>
      </c>
      <c r="O203" s="328">
        <v>0</v>
      </c>
      <c r="P203" s="328">
        <v>0</v>
      </c>
      <c r="Q203" s="328">
        <v>0</v>
      </c>
      <c r="R203" s="328">
        <v>0</v>
      </c>
      <c r="S203" s="328">
        <v>0</v>
      </c>
      <c r="T203" s="328">
        <v>0</v>
      </c>
      <c r="U203" s="328">
        <v>0</v>
      </c>
      <c r="V203" s="332">
        <v>1081.486</v>
      </c>
      <c r="W203" s="328">
        <v>-1.1368683772161603E-13</v>
      </c>
      <c r="X203" s="333">
        <v>34599.125</v>
      </c>
      <c r="AA203" s="201"/>
      <c r="AB203" s="201"/>
      <c r="AC203" s="237"/>
      <c r="AD203" s="214"/>
      <c r="AG203" s="213"/>
      <c r="AH203" s="238"/>
    </row>
    <row r="204" spans="1:34" s="200" customFormat="1" ht="13.5">
      <c r="A204" s="329"/>
      <c r="B204" s="215" t="s">
        <v>298</v>
      </c>
      <c r="C204" s="330"/>
      <c r="D204" s="329"/>
      <c r="E204" s="328">
        <v>0</v>
      </c>
      <c r="F204" s="205">
        <v>180</v>
      </c>
      <c r="G204" s="328">
        <v>180</v>
      </c>
      <c r="H204" s="333">
        <v>0</v>
      </c>
      <c r="I204" s="328">
        <v>180</v>
      </c>
      <c r="J204" s="328">
        <v>0</v>
      </c>
      <c r="K204" s="328">
        <v>0</v>
      </c>
      <c r="L204" s="328">
        <v>0</v>
      </c>
      <c r="M204" s="328">
        <v>0</v>
      </c>
      <c r="N204" s="328">
        <v>0</v>
      </c>
      <c r="O204" s="328">
        <v>0</v>
      </c>
      <c r="P204" s="328">
        <v>0</v>
      </c>
      <c r="Q204" s="328">
        <v>0</v>
      </c>
      <c r="R204" s="328">
        <v>0</v>
      </c>
      <c r="S204" s="328">
        <v>0</v>
      </c>
      <c r="T204" s="328">
        <v>0</v>
      </c>
      <c r="U204" s="328">
        <v>0</v>
      </c>
      <c r="V204" s="332">
        <v>180</v>
      </c>
      <c r="W204" s="328">
        <v>0</v>
      </c>
      <c r="X204" s="333">
        <v>180</v>
      </c>
      <c r="AA204" s="201"/>
      <c r="AB204" s="201"/>
      <c r="AC204" s="202"/>
      <c r="AD204" s="214"/>
      <c r="AG204" s="203"/>
      <c r="AH204" s="204"/>
    </row>
    <row r="205" spans="1:34" s="236" customFormat="1" ht="13.5">
      <c r="A205" s="329"/>
      <c r="B205" s="235" t="s">
        <v>299</v>
      </c>
      <c r="C205" s="330"/>
      <c r="D205" s="329"/>
      <c r="E205" s="328"/>
      <c r="F205" s="205"/>
      <c r="G205" s="328"/>
      <c r="H205" s="333"/>
      <c r="I205" s="328"/>
      <c r="J205" s="328"/>
      <c r="K205" s="328"/>
      <c r="L205" s="328"/>
      <c r="M205" s="328"/>
      <c r="N205" s="328"/>
      <c r="O205" s="328"/>
      <c r="P205" s="328"/>
      <c r="Q205" s="328"/>
      <c r="R205" s="328"/>
      <c r="S205" s="328"/>
      <c r="T205" s="328"/>
      <c r="U205" s="328"/>
      <c r="V205" s="332"/>
      <c r="W205" s="328"/>
      <c r="X205" s="333"/>
      <c r="AA205" s="201"/>
      <c r="AB205" s="201"/>
      <c r="AC205" s="237"/>
      <c r="AD205" s="214"/>
      <c r="AG205" s="213"/>
      <c r="AH205" s="238"/>
    </row>
    <row r="206" spans="1:34" s="236" customFormat="1" ht="13.5">
      <c r="A206" s="329"/>
      <c r="B206" s="235" t="s">
        <v>300</v>
      </c>
      <c r="C206" s="330"/>
      <c r="D206" s="329"/>
      <c r="E206" s="328"/>
      <c r="F206" s="205"/>
      <c r="G206" s="328"/>
      <c r="H206" s="333"/>
      <c r="I206" s="328"/>
      <c r="J206" s="328"/>
      <c r="K206" s="328"/>
      <c r="L206" s="328"/>
      <c r="M206" s="328"/>
      <c r="N206" s="328"/>
      <c r="O206" s="328"/>
      <c r="P206" s="328"/>
      <c r="Q206" s="328"/>
      <c r="R206" s="328"/>
      <c r="S206" s="328"/>
      <c r="T206" s="328"/>
      <c r="U206" s="328"/>
      <c r="V206" s="332"/>
      <c r="W206" s="328"/>
      <c r="X206" s="333"/>
      <c r="AA206" s="201"/>
      <c r="AB206" s="201"/>
      <c r="AC206" s="237"/>
      <c r="AD206" s="214"/>
      <c r="AG206" s="213"/>
      <c r="AH206" s="238"/>
    </row>
    <row r="207" spans="1:34" s="236" customFormat="1" ht="13.5">
      <c r="A207" s="329"/>
      <c r="B207" s="235" t="s">
        <v>301</v>
      </c>
      <c r="C207" s="330"/>
      <c r="D207" s="329"/>
      <c r="E207" s="328"/>
      <c r="F207" s="205"/>
      <c r="G207" s="328"/>
      <c r="H207" s="333"/>
      <c r="I207" s="328"/>
      <c r="J207" s="328"/>
      <c r="K207" s="328"/>
      <c r="L207" s="328"/>
      <c r="M207" s="328"/>
      <c r="N207" s="328"/>
      <c r="O207" s="328"/>
      <c r="P207" s="328"/>
      <c r="Q207" s="328"/>
      <c r="R207" s="328"/>
      <c r="S207" s="328"/>
      <c r="T207" s="328"/>
      <c r="U207" s="328"/>
      <c r="V207" s="332"/>
      <c r="W207" s="328"/>
      <c r="X207" s="333"/>
      <c r="AA207" s="201"/>
      <c r="AB207" s="201"/>
      <c r="AC207" s="237"/>
      <c r="AD207" s="214"/>
      <c r="AG207" s="213"/>
      <c r="AH207" s="238"/>
    </row>
    <row r="208" spans="1:34" s="236" customFormat="1" ht="13.5">
      <c r="A208" s="329"/>
      <c r="B208" s="239" t="s">
        <v>302</v>
      </c>
      <c r="C208" s="330"/>
      <c r="D208" s="329"/>
      <c r="E208" s="328"/>
      <c r="F208" s="205"/>
      <c r="G208" s="328"/>
      <c r="H208" s="333"/>
      <c r="I208" s="328"/>
      <c r="J208" s="328"/>
      <c r="K208" s="328"/>
      <c r="L208" s="328"/>
      <c r="M208" s="328"/>
      <c r="N208" s="328"/>
      <c r="O208" s="328"/>
      <c r="P208" s="328"/>
      <c r="Q208" s="328"/>
      <c r="R208" s="328"/>
      <c r="S208" s="328"/>
      <c r="T208" s="328"/>
      <c r="U208" s="328"/>
      <c r="V208" s="332"/>
      <c r="W208" s="328"/>
      <c r="X208" s="333"/>
      <c r="AA208" s="201"/>
      <c r="AB208" s="201"/>
      <c r="AC208" s="237"/>
      <c r="AD208" s="214"/>
      <c r="AG208" s="213"/>
      <c r="AH208" s="238"/>
    </row>
    <row r="209" spans="1:34" s="236" customFormat="1" ht="13.5">
      <c r="A209" s="329"/>
      <c r="B209" s="235" t="s">
        <v>303</v>
      </c>
      <c r="C209" s="330"/>
      <c r="D209" s="329"/>
      <c r="E209" s="328"/>
      <c r="F209" s="205"/>
      <c r="G209" s="328"/>
      <c r="H209" s="333"/>
      <c r="I209" s="328"/>
      <c r="J209" s="328"/>
      <c r="K209" s="328"/>
      <c r="L209" s="328"/>
      <c r="M209" s="328"/>
      <c r="N209" s="328"/>
      <c r="O209" s="328"/>
      <c r="P209" s="328"/>
      <c r="Q209" s="328"/>
      <c r="R209" s="328"/>
      <c r="S209" s="328"/>
      <c r="T209" s="328"/>
      <c r="U209" s="328"/>
      <c r="V209" s="332"/>
      <c r="W209" s="328"/>
      <c r="X209" s="333"/>
      <c r="AA209" s="201"/>
      <c r="AB209" s="201"/>
      <c r="AC209" s="237"/>
      <c r="AD209" s="214"/>
      <c r="AG209" s="213"/>
      <c r="AH209" s="238"/>
    </row>
    <row r="210" spans="1:34" s="236" customFormat="1" ht="13.5">
      <c r="A210" s="329"/>
      <c r="B210" s="239" t="s">
        <v>309</v>
      </c>
      <c r="C210" s="330"/>
      <c r="D210" s="329"/>
      <c r="E210" s="328"/>
      <c r="F210" s="205"/>
      <c r="G210" s="328"/>
      <c r="H210" s="333"/>
      <c r="I210" s="328"/>
      <c r="J210" s="328"/>
      <c r="K210" s="328"/>
      <c r="L210" s="328"/>
      <c r="M210" s="328"/>
      <c r="N210" s="328"/>
      <c r="O210" s="328"/>
      <c r="P210" s="328"/>
      <c r="Q210" s="328"/>
      <c r="R210" s="328"/>
      <c r="S210" s="328"/>
      <c r="T210" s="328"/>
      <c r="U210" s="328"/>
      <c r="V210" s="332"/>
      <c r="W210" s="328"/>
      <c r="X210" s="333"/>
      <c r="AA210" s="201"/>
      <c r="AB210" s="201"/>
      <c r="AC210" s="237"/>
      <c r="AD210" s="214"/>
      <c r="AG210" s="213"/>
      <c r="AH210" s="238"/>
    </row>
    <row r="211" spans="1:34" s="236" customFormat="1" ht="13.5">
      <c r="A211" s="329"/>
      <c r="B211" s="235" t="s">
        <v>310</v>
      </c>
      <c r="C211" s="330"/>
      <c r="D211" s="329"/>
      <c r="E211" s="328"/>
      <c r="F211" s="205"/>
      <c r="G211" s="328"/>
      <c r="H211" s="333"/>
      <c r="I211" s="328"/>
      <c r="J211" s="328"/>
      <c r="K211" s="328"/>
      <c r="L211" s="328"/>
      <c r="M211" s="328"/>
      <c r="N211" s="328"/>
      <c r="O211" s="328"/>
      <c r="P211" s="328"/>
      <c r="Q211" s="328"/>
      <c r="R211" s="328"/>
      <c r="S211" s="328"/>
      <c r="T211" s="328"/>
      <c r="U211" s="328"/>
      <c r="V211" s="332"/>
      <c r="W211" s="328"/>
      <c r="X211" s="333"/>
      <c r="AA211" s="201"/>
      <c r="AB211" s="201"/>
      <c r="AC211" s="237"/>
      <c r="AD211" s="214"/>
      <c r="AG211" s="213"/>
      <c r="AH211" s="238"/>
    </row>
    <row r="212" spans="1:34" s="236" customFormat="1" ht="13.5">
      <c r="A212" s="329"/>
      <c r="B212" s="235" t="s">
        <v>311</v>
      </c>
      <c r="C212" s="330"/>
      <c r="D212" s="329"/>
      <c r="E212" s="328"/>
      <c r="F212" s="205"/>
      <c r="G212" s="328"/>
      <c r="H212" s="333"/>
      <c r="I212" s="328"/>
      <c r="J212" s="328"/>
      <c r="K212" s="328"/>
      <c r="L212" s="328"/>
      <c r="M212" s="328"/>
      <c r="N212" s="328"/>
      <c r="O212" s="328"/>
      <c r="P212" s="328"/>
      <c r="Q212" s="328"/>
      <c r="R212" s="328"/>
      <c r="S212" s="328"/>
      <c r="T212" s="328"/>
      <c r="U212" s="328"/>
      <c r="V212" s="332"/>
      <c r="W212" s="328"/>
      <c r="X212" s="333"/>
      <c r="AA212" s="201"/>
      <c r="AB212" s="201"/>
      <c r="AC212" s="237"/>
      <c r="AD212" s="214"/>
      <c r="AG212" s="213"/>
      <c r="AH212" s="238"/>
    </row>
    <row r="213" spans="1:34" s="236" customFormat="1" ht="13.5">
      <c r="A213" s="329"/>
      <c r="B213" s="235" t="s">
        <v>312</v>
      </c>
      <c r="C213" s="330"/>
      <c r="D213" s="329"/>
      <c r="E213" s="328"/>
      <c r="F213" s="205"/>
      <c r="G213" s="328"/>
      <c r="H213" s="333"/>
      <c r="I213" s="328"/>
      <c r="J213" s="328"/>
      <c r="K213" s="328"/>
      <c r="L213" s="328"/>
      <c r="M213" s="328"/>
      <c r="N213" s="328"/>
      <c r="O213" s="328"/>
      <c r="P213" s="328"/>
      <c r="Q213" s="328"/>
      <c r="R213" s="328"/>
      <c r="S213" s="328"/>
      <c r="T213" s="328"/>
      <c r="U213" s="328"/>
      <c r="V213" s="332"/>
      <c r="W213" s="328"/>
      <c r="X213" s="333"/>
      <c r="AA213" s="201"/>
      <c r="AB213" s="201"/>
      <c r="AC213" s="237"/>
      <c r="AD213" s="214"/>
      <c r="AG213" s="213"/>
      <c r="AH213" s="238"/>
    </row>
    <row r="214" spans="1:34" s="236" customFormat="1" ht="13.5">
      <c r="A214" s="329"/>
      <c r="B214" s="235" t="s">
        <v>313</v>
      </c>
      <c r="C214" s="330"/>
      <c r="D214" s="329"/>
      <c r="E214" s="328">
        <v>0</v>
      </c>
      <c r="F214" s="205">
        <v>180</v>
      </c>
      <c r="G214" s="328">
        <v>180</v>
      </c>
      <c r="H214" s="333">
        <v>0</v>
      </c>
      <c r="I214" s="328">
        <v>180</v>
      </c>
      <c r="J214" s="328">
        <v>0</v>
      </c>
      <c r="K214" s="328">
        <v>0</v>
      </c>
      <c r="L214" s="328">
        <v>0</v>
      </c>
      <c r="M214" s="328">
        <v>0</v>
      </c>
      <c r="N214" s="328">
        <v>0</v>
      </c>
      <c r="O214" s="328">
        <v>0</v>
      </c>
      <c r="P214" s="328">
        <v>0</v>
      </c>
      <c r="Q214" s="328">
        <v>0</v>
      </c>
      <c r="R214" s="328">
        <v>0</v>
      </c>
      <c r="S214" s="328">
        <v>0</v>
      </c>
      <c r="T214" s="328">
        <v>0</v>
      </c>
      <c r="U214" s="328">
        <v>0</v>
      </c>
      <c r="V214" s="332">
        <v>180</v>
      </c>
      <c r="W214" s="328">
        <v>0</v>
      </c>
      <c r="X214" s="333">
        <v>180</v>
      </c>
      <c r="AA214" s="201"/>
      <c r="AB214" s="201"/>
      <c r="AC214" s="237"/>
      <c r="AD214" s="214"/>
      <c r="AG214" s="213"/>
      <c r="AH214" s="238"/>
    </row>
    <row r="215" spans="1:34" s="200" customFormat="1" ht="13.5">
      <c r="A215" s="329">
        <v>86</v>
      </c>
      <c r="B215" s="251" t="s">
        <v>437</v>
      </c>
      <c r="C215" s="329" t="s">
        <v>305</v>
      </c>
      <c r="D215" s="287">
        <v>7424892</v>
      </c>
      <c r="E215" s="328">
        <v>0</v>
      </c>
      <c r="F215" s="232">
        <v>60</v>
      </c>
      <c r="G215" s="231">
        <v>60</v>
      </c>
      <c r="H215" s="233">
        <v>0</v>
      </c>
      <c r="I215" s="231">
        <v>60</v>
      </c>
      <c r="J215" s="328"/>
      <c r="K215" s="328"/>
      <c r="L215" s="328"/>
      <c r="M215" s="328"/>
      <c r="N215" s="328"/>
      <c r="O215" s="231">
        <v>0</v>
      </c>
      <c r="P215" s="328"/>
      <c r="Q215" s="328"/>
      <c r="R215" s="328"/>
      <c r="S215" s="328"/>
      <c r="T215" s="328"/>
      <c r="U215" s="231">
        <v>0</v>
      </c>
      <c r="V215" s="234">
        <v>60</v>
      </c>
      <c r="W215" s="231">
        <v>0</v>
      </c>
      <c r="X215" s="233">
        <v>60</v>
      </c>
      <c r="AA215" s="242" t="e">
        <f>INDEX('[3]TONG HOP'!#REF!,MATCH(D215,'[3]TONG HOP'!$L$31:$L$400,0),337)+INDEX('[3]TONG HOP'!#REF!,MATCH(D215,'[3]TONG HOP'!$L$31:$L$400,0),338)</f>
        <v>#REF!</v>
      </c>
      <c r="AB215" s="242" t="e">
        <f>INDEX('[3]TONG HOP'!#REF!,MATCH(D215,'[3]TONG HOP'!$L$31:$L$400,0),367)</f>
        <v>#REF!</v>
      </c>
      <c r="AC215" s="246" t="e">
        <f>INDEX('[3]TONG HOP'!#REF!,MATCH(D215,'[3]TONG HOP'!$L$31:$L$400,0),364)</f>
        <v>#REF!</v>
      </c>
      <c r="AD215" s="242" t="e">
        <f>INDEX('[3]TONG HOP'!#REF!,MATCH(D215,'[3]TONG HOP'!$L$31:$L$400,0),4)</f>
        <v>#REF!</v>
      </c>
      <c r="AE215" s="245">
        <f>INDEX('[4]BIeu 03KBQT'!$A$11:$X$178,MATCH(D215,'[4]BIeu 03KBQT'!$D$11:$D$178,0),6)/1000000</f>
        <v>60</v>
      </c>
      <c r="AF215" s="244">
        <f>AE215-F215</f>
        <v>0</v>
      </c>
      <c r="AG215" s="203">
        <f>INDEX('[4]BIeu 03KBQT'!$A$11:$X$178,MATCH(D215,'[4]BIeu 03KBQT'!$D$11:$D$178,0),24)/1000000</f>
        <v>60</v>
      </c>
      <c r="AH215" s="204">
        <f>AG215-X215</f>
        <v>0</v>
      </c>
    </row>
    <row r="216" spans="1:34" s="200" customFormat="1" ht="13.5">
      <c r="A216" s="329">
        <v>87</v>
      </c>
      <c r="B216" s="251" t="s">
        <v>438</v>
      </c>
      <c r="C216" s="329" t="s">
        <v>305</v>
      </c>
      <c r="D216" s="287">
        <v>7424894</v>
      </c>
      <c r="E216" s="328">
        <v>0</v>
      </c>
      <c r="F216" s="232">
        <v>60</v>
      </c>
      <c r="G216" s="231">
        <v>60</v>
      </c>
      <c r="H216" s="233">
        <v>0</v>
      </c>
      <c r="I216" s="231">
        <v>60</v>
      </c>
      <c r="J216" s="328"/>
      <c r="K216" s="328"/>
      <c r="L216" s="328"/>
      <c r="M216" s="328"/>
      <c r="N216" s="328"/>
      <c r="O216" s="231">
        <v>0</v>
      </c>
      <c r="P216" s="328"/>
      <c r="Q216" s="328"/>
      <c r="R216" s="328"/>
      <c r="S216" s="328"/>
      <c r="T216" s="328"/>
      <c r="U216" s="231">
        <v>0</v>
      </c>
      <c r="V216" s="234">
        <v>60</v>
      </c>
      <c r="W216" s="231">
        <v>0</v>
      </c>
      <c r="X216" s="233">
        <v>60</v>
      </c>
      <c r="AA216" s="242" t="e">
        <f>INDEX('[3]TONG HOP'!#REF!,MATCH(D216,'[3]TONG HOP'!$L$31:$L$400,0),337)+INDEX('[3]TONG HOP'!#REF!,MATCH(D216,'[3]TONG HOP'!$L$31:$L$400,0),338)</f>
        <v>#REF!</v>
      </c>
      <c r="AB216" s="242" t="e">
        <f>INDEX('[3]TONG HOP'!#REF!,MATCH(D216,'[3]TONG HOP'!$L$31:$L$400,0),367)</f>
        <v>#REF!</v>
      </c>
      <c r="AC216" s="246" t="e">
        <f>INDEX('[3]TONG HOP'!#REF!,MATCH(D216,'[3]TONG HOP'!$L$31:$L$400,0),364)</f>
        <v>#REF!</v>
      </c>
      <c r="AD216" s="242" t="e">
        <f>INDEX('[3]TONG HOP'!#REF!,MATCH(D216,'[3]TONG HOP'!$L$31:$L$400,0),4)</f>
        <v>#REF!</v>
      </c>
      <c r="AE216" s="245">
        <f>INDEX('[4]BIeu 03KBQT'!$A$11:$X$178,MATCH(D216,'[4]BIeu 03KBQT'!$D$11:$D$178,0),6)/1000000</f>
        <v>60</v>
      </c>
      <c r="AF216" s="244">
        <f>AE216-F216</f>
        <v>0</v>
      </c>
      <c r="AG216" s="203">
        <f>INDEX('[4]BIeu 03KBQT'!$A$11:$X$178,MATCH(D216,'[4]BIeu 03KBQT'!$D$11:$D$178,0),24)/1000000</f>
        <v>60</v>
      </c>
      <c r="AH216" s="204">
        <f>AG216-X216</f>
        <v>0</v>
      </c>
    </row>
    <row r="217" spans="1:34" s="200" customFormat="1" ht="13.5">
      <c r="A217" s="329">
        <v>88</v>
      </c>
      <c r="B217" s="251" t="s">
        <v>439</v>
      </c>
      <c r="C217" s="329" t="s">
        <v>305</v>
      </c>
      <c r="D217" s="287">
        <v>7424896</v>
      </c>
      <c r="E217" s="328">
        <v>0</v>
      </c>
      <c r="F217" s="232">
        <v>60</v>
      </c>
      <c r="G217" s="231">
        <v>60</v>
      </c>
      <c r="H217" s="233">
        <v>0</v>
      </c>
      <c r="I217" s="231">
        <v>60</v>
      </c>
      <c r="J217" s="328"/>
      <c r="K217" s="328"/>
      <c r="L217" s="328"/>
      <c r="M217" s="328"/>
      <c r="N217" s="328"/>
      <c r="O217" s="231">
        <v>0</v>
      </c>
      <c r="P217" s="328"/>
      <c r="Q217" s="328"/>
      <c r="R217" s="328"/>
      <c r="S217" s="328"/>
      <c r="T217" s="328"/>
      <c r="U217" s="231">
        <v>0</v>
      </c>
      <c r="V217" s="234">
        <v>60</v>
      </c>
      <c r="W217" s="231">
        <v>0</v>
      </c>
      <c r="X217" s="233">
        <v>60</v>
      </c>
      <c r="AA217" s="242" t="e">
        <f>INDEX('[3]TONG HOP'!#REF!,MATCH(D217,'[3]TONG HOP'!$L$31:$L$400,0),337)+INDEX('[3]TONG HOP'!#REF!,MATCH(D217,'[3]TONG HOP'!$L$31:$L$400,0),338)</f>
        <v>#REF!</v>
      </c>
      <c r="AB217" s="242" t="e">
        <f>INDEX('[3]TONG HOP'!#REF!,MATCH(D217,'[3]TONG HOP'!$L$31:$L$400,0),367)</f>
        <v>#REF!</v>
      </c>
      <c r="AC217" s="246" t="e">
        <f>INDEX('[3]TONG HOP'!#REF!,MATCH(D217,'[3]TONG HOP'!$L$31:$L$400,0),364)</f>
        <v>#REF!</v>
      </c>
      <c r="AD217" s="242" t="e">
        <f>INDEX('[3]TONG HOP'!#REF!,MATCH(D217,'[3]TONG HOP'!$L$31:$L$400,0),4)</f>
        <v>#REF!</v>
      </c>
      <c r="AE217" s="245">
        <f>INDEX('[4]BIeu 03KBQT'!$A$11:$X$178,MATCH(D217,'[4]BIeu 03KBQT'!$D$11:$D$178,0),6)/1000000</f>
        <v>60</v>
      </c>
      <c r="AF217" s="244">
        <f>AE217-F217</f>
        <v>0</v>
      </c>
      <c r="AG217" s="203">
        <f>INDEX('[4]BIeu 03KBQT'!$A$11:$X$178,MATCH(D217,'[4]BIeu 03KBQT'!$D$11:$D$178,0),24)/1000000</f>
        <v>60</v>
      </c>
      <c r="AH217" s="204">
        <f>AG217-X217</f>
        <v>0</v>
      </c>
    </row>
    <row r="218" spans="1:34" s="200" customFormat="1" ht="13.5">
      <c r="A218" s="329"/>
      <c r="B218" s="215" t="s">
        <v>314</v>
      </c>
      <c r="C218" s="330"/>
      <c r="D218" s="329"/>
      <c r="E218" s="328">
        <v>47466.701</v>
      </c>
      <c r="F218" s="205">
        <v>34539.762</v>
      </c>
      <c r="G218" s="328">
        <v>1022.123</v>
      </c>
      <c r="H218" s="333">
        <v>120.637</v>
      </c>
      <c r="I218" s="328">
        <v>901.4860000000001</v>
      </c>
      <c r="J218" s="328">
        <v>0</v>
      </c>
      <c r="K218" s="328">
        <v>0</v>
      </c>
      <c r="L218" s="328">
        <v>0</v>
      </c>
      <c r="M218" s="328">
        <v>0</v>
      </c>
      <c r="N218" s="328">
        <v>0</v>
      </c>
      <c r="O218" s="328">
        <v>0</v>
      </c>
      <c r="P218" s="328">
        <v>0</v>
      </c>
      <c r="Q218" s="328">
        <v>0</v>
      </c>
      <c r="R218" s="328">
        <v>0</v>
      </c>
      <c r="S218" s="328">
        <v>0</v>
      </c>
      <c r="T218" s="328">
        <v>0</v>
      </c>
      <c r="U218" s="328">
        <v>0</v>
      </c>
      <c r="V218" s="332">
        <v>901.4860000000001</v>
      </c>
      <c r="W218" s="328">
        <v>-1.1368683772161603E-13</v>
      </c>
      <c r="X218" s="333">
        <v>34419.125</v>
      </c>
      <c r="AA218" s="201"/>
      <c r="AB218" s="201"/>
      <c r="AC218" s="202"/>
      <c r="AD218" s="214"/>
      <c r="AG218" s="203"/>
      <c r="AH218" s="204"/>
    </row>
    <row r="219" spans="1:34" s="236" customFormat="1" ht="13.5">
      <c r="A219" s="329"/>
      <c r="B219" s="235" t="s">
        <v>299</v>
      </c>
      <c r="C219" s="330"/>
      <c r="D219" s="329"/>
      <c r="E219" s="328">
        <v>14995</v>
      </c>
      <c r="F219" s="205">
        <v>9734.415</v>
      </c>
      <c r="G219" s="328">
        <v>25.8</v>
      </c>
      <c r="H219" s="333">
        <v>0</v>
      </c>
      <c r="I219" s="328">
        <v>25.8</v>
      </c>
      <c r="J219" s="328">
        <v>0</v>
      </c>
      <c r="K219" s="328">
        <v>0</v>
      </c>
      <c r="L219" s="328">
        <v>0</v>
      </c>
      <c r="M219" s="328">
        <v>0</v>
      </c>
      <c r="N219" s="328">
        <v>0</v>
      </c>
      <c r="O219" s="328">
        <v>0</v>
      </c>
      <c r="P219" s="328">
        <v>0</v>
      </c>
      <c r="Q219" s="328">
        <v>0</v>
      </c>
      <c r="R219" s="328">
        <v>0</v>
      </c>
      <c r="S219" s="328">
        <v>0</v>
      </c>
      <c r="T219" s="328">
        <v>0</v>
      </c>
      <c r="U219" s="328">
        <v>0</v>
      </c>
      <c r="V219" s="332">
        <v>25.8</v>
      </c>
      <c r="W219" s="328">
        <v>0</v>
      </c>
      <c r="X219" s="333">
        <v>9734.415</v>
      </c>
      <c r="AA219" s="201"/>
      <c r="AB219" s="201"/>
      <c r="AC219" s="237"/>
      <c r="AD219" s="214"/>
      <c r="AG219" s="213"/>
      <c r="AH219" s="238"/>
    </row>
    <row r="220" spans="1:34" s="200" customFormat="1" ht="13.5">
      <c r="A220" s="329">
        <v>89</v>
      </c>
      <c r="B220" s="251" t="s">
        <v>440</v>
      </c>
      <c r="C220" s="329" t="s">
        <v>305</v>
      </c>
      <c r="D220" s="262">
        <v>7427503</v>
      </c>
      <c r="E220" s="328">
        <v>14995</v>
      </c>
      <c r="F220" s="232">
        <v>9734.415</v>
      </c>
      <c r="G220" s="231">
        <v>25.8</v>
      </c>
      <c r="H220" s="233">
        <v>0</v>
      </c>
      <c r="I220" s="231">
        <v>25.8</v>
      </c>
      <c r="J220" s="328"/>
      <c r="K220" s="328"/>
      <c r="L220" s="328"/>
      <c r="M220" s="328"/>
      <c r="N220" s="328"/>
      <c r="O220" s="231">
        <v>0</v>
      </c>
      <c r="P220" s="328"/>
      <c r="Q220" s="328"/>
      <c r="R220" s="328"/>
      <c r="S220" s="328"/>
      <c r="T220" s="328"/>
      <c r="U220" s="231">
        <v>0</v>
      </c>
      <c r="V220" s="234">
        <v>25.8</v>
      </c>
      <c r="W220" s="231">
        <v>0</v>
      </c>
      <c r="X220" s="233">
        <v>9734.415</v>
      </c>
      <c r="AA220" s="242" t="e">
        <f>INDEX('[3]TONG HOP'!#REF!,MATCH(D220,'[3]TONG HOP'!$L$31:$L$400,0),337)+INDEX('[3]TONG HOP'!#REF!,MATCH(D220,'[3]TONG HOP'!$L$31:$L$400,0),338)</f>
        <v>#REF!</v>
      </c>
      <c r="AB220" s="242" t="e">
        <f>INDEX('[3]TONG HOP'!#REF!,MATCH(D220,'[3]TONG HOP'!$L$31:$L$400,0),367)</f>
        <v>#REF!</v>
      </c>
      <c r="AC220" s="246">
        <v>3234.216</v>
      </c>
      <c r="AD220" s="242" t="e">
        <f>INDEX('[3]TONG HOP'!#REF!,MATCH(D220,'[3]TONG HOP'!$L$31:$L$400,0),4)</f>
        <v>#REF!</v>
      </c>
      <c r="AE220" s="289">
        <f>INDEX('[4]BIeu 03KBQT'!$A$11:$X$178,MATCH(D220,'[4]BIeu 03KBQT'!$D$11:$D$178,0),6)/1000000</f>
        <v>9734.415</v>
      </c>
      <c r="AF220" s="244"/>
      <c r="AG220" s="203">
        <v>9734.415</v>
      </c>
      <c r="AH220" s="204">
        <f>AG220-X220</f>
        <v>0</v>
      </c>
    </row>
    <row r="221" spans="1:34" s="236" customFormat="1" ht="13.5">
      <c r="A221" s="329"/>
      <c r="B221" s="235" t="s">
        <v>300</v>
      </c>
      <c r="C221" s="330"/>
      <c r="D221" s="329"/>
      <c r="E221" s="328"/>
      <c r="F221" s="205"/>
      <c r="G221" s="328"/>
      <c r="H221" s="333"/>
      <c r="I221" s="328"/>
      <c r="J221" s="328"/>
      <c r="K221" s="328"/>
      <c r="L221" s="328"/>
      <c r="M221" s="328"/>
      <c r="N221" s="328"/>
      <c r="O221" s="328"/>
      <c r="P221" s="328"/>
      <c r="Q221" s="328"/>
      <c r="R221" s="328"/>
      <c r="S221" s="328"/>
      <c r="T221" s="328"/>
      <c r="U221" s="328"/>
      <c r="V221" s="332"/>
      <c r="W221" s="328"/>
      <c r="X221" s="333"/>
      <c r="AA221" s="201"/>
      <c r="AB221" s="201"/>
      <c r="AC221" s="237"/>
      <c r="AD221" s="214"/>
      <c r="AG221" s="213"/>
      <c r="AH221" s="238"/>
    </row>
    <row r="222" spans="1:34" s="236" customFormat="1" ht="13.5">
      <c r="A222" s="329"/>
      <c r="B222" s="235" t="s">
        <v>301</v>
      </c>
      <c r="C222" s="330"/>
      <c r="D222" s="287"/>
      <c r="E222" s="328">
        <v>3635.1459999999997</v>
      </c>
      <c r="F222" s="205">
        <v>2805.2400000000002</v>
      </c>
      <c r="G222" s="328">
        <v>13.299000000000001</v>
      </c>
      <c r="H222" s="333">
        <v>0</v>
      </c>
      <c r="I222" s="328">
        <v>13.299000000000001</v>
      </c>
      <c r="J222" s="328">
        <v>0</v>
      </c>
      <c r="K222" s="328">
        <v>0</v>
      </c>
      <c r="L222" s="328">
        <v>0</v>
      </c>
      <c r="M222" s="328">
        <v>0</v>
      </c>
      <c r="N222" s="328">
        <v>0</v>
      </c>
      <c r="O222" s="328">
        <v>0</v>
      </c>
      <c r="P222" s="328">
        <v>0</v>
      </c>
      <c r="Q222" s="328">
        <v>0</v>
      </c>
      <c r="R222" s="328">
        <v>0</v>
      </c>
      <c r="S222" s="328">
        <v>0</v>
      </c>
      <c r="T222" s="328">
        <v>0</v>
      </c>
      <c r="U222" s="328">
        <v>0</v>
      </c>
      <c r="V222" s="332">
        <v>13.299000000000001</v>
      </c>
      <c r="W222" s="328">
        <v>0</v>
      </c>
      <c r="X222" s="333">
        <v>2805.2400000000002</v>
      </c>
      <c r="AA222" s="201"/>
      <c r="AB222" s="201"/>
      <c r="AC222" s="237"/>
      <c r="AD222" s="214"/>
      <c r="AG222" s="213"/>
      <c r="AH222" s="238"/>
    </row>
    <row r="223" spans="1:34" s="290" customFormat="1" ht="13.5">
      <c r="A223" s="329">
        <v>90</v>
      </c>
      <c r="B223" s="251" t="s">
        <v>318</v>
      </c>
      <c r="C223" s="329" t="s">
        <v>305</v>
      </c>
      <c r="D223" s="247">
        <v>7481907</v>
      </c>
      <c r="E223" s="328">
        <v>1039.936</v>
      </c>
      <c r="F223" s="232">
        <v>531.695</v>
      </c>
      <c r="G223" s="231">
        <v>3.547</v>
      </c>
      <c r="H223" s="233">
        <v>0</v>
      </c>
      <c r="I223" s="231">
        <v>3.547</v>
      </c>
      <c r="J223" s="328"/>
      <c r="K223" s="328"/>
      <c r="L223" s="328"/>
      <c r="M223" s="328"/>
      <c r="N223" s="328"/>
      <c r="O223" s="231">
        <v>0</v>
      </c>
      <c r="P223" s="328"/>
      <c r="Q223" s="328"/>
      <c r="R223" s="328"/>
      <c r="S223" s="328"/>
      <c r="T223" s="328"/>
      <c r="U223" s="231">
        <v>0</v>
      </c>
      <c r="V223" s="234">
        <v>3.547</v>
      </c>
      <c r="W223" s="231">
        <v>0</v>
      </c>
      <c r="X223" s="233">
        <v>531.695</v>
      </c>
      <c r="AA223" s="291" t="e">
        <f>INDEX('[3]TONG HOP'!#REF!,MATCH(D223,'[3]TONG HOP'!$L$31:$L$400,0),337)+INDEX('[3]TONG HOP'!#REF!,MATCH(D223,'[3]TONG HOP'!$L$31:$L$400,0),338)</f>
        <v>#REF!</v>
      </c>
      <c r="AB223" s="291" t="e">
        <f>INDEX('[3]TONG HOP'!#REF!,MATCH(D223,'[3]TONG HOP'!$L$31:$L$400,0),367)</f>
        <v>#REF!</v>
      </c>
      <c r="AC223" s="231">
        <v>531.695</v>
      </c>
      <c r="AD223" s="291" t="e">
        <f>INDEX('[3]TONG HOP'!#REF!,MATCH(D223,'[3]TONG HOP'!$L$31:$L$400,0),4)</f>
        <v>#REF!</v>
      </c>
      <c r="AE223" s="292">
        <f>INDEX('[4]BIeu 03KBQT'!$A$11:$X$178,MATCH(D223,'[4]BIeu 03KBQT'!$D$11:$D$178,0),6)/1000000</f>
        <v>531.695</v>
      </c>
      <c r="AF223" s="293">
        <f>AE223-F223</f>
        <v>0</v>
      </c>
      <c r="AG223" s="294">
        <v>531.695</v>
      </c>
      <c r="AH223" s="295">
        <f>AG223-X223</f>
        <v>0</v>
      </c>
    </row>
    <row r="224" spans="1:34" s="290" customFormat="1" ht="13.5">
      <c r="A224" s="329">
        <v>91</v>
      </c>
      <c r="B224" s="251" t="s">
        <v>351</v>
      </c>
      <c r="C224" s="329" t="s">
        <v>305</v>
      </c>
      <c r="D224" s="247">
        <v>7434554</v>
      </c>
      <c r="E224" s="328">
        <v>2595.21</v>
      </c>
      <c r="F224" s="232">
        <v>2273.545</v>
      </c>
      <c r="G224" s="231">
        <v>9.752</v>
      </c>
      <c r="H224" s="233">
        <v>0</v>
      </c>
      <c r="I224" s="231">
        <v>9.752</v>
      </c>
      <c r="J224" s="328"/>
      <c r="K224" s="328"/>
      <c r="L224" s="328"/>
      <c r="M224" s="328"/>
      <c r="N224" s="328"/>
      <c r="O224" s="231">
        <v>0</v>
      </c>
      <c r="P224" s="328"/>
      <c r="Q224" s="328"/>
      <c r="R224" s="328"/>
      <c r="S224" s="328"/>
      <c r="T224" s="328"/>
      <c r="U224" s="231">
        <v>0</v>
      </c>
      <c r="V224" s="234">
        <v>9.752</v>
      </c>
      <c r="W224" s="231">
        <v>0</v>
      </c>
      <c r="X224" s="233">
        <v>2273.545</v>
      </c>
      <c r="AA224" s="291" t="e">
        <f>INDEX('[3]TONG HOP'!#REF!,MATCH(D224,'[3]TONG HOP'!$L$31:$L$400,0),337)+INDEX('[3]TONG HOP'!#REF!,MATCH(D224,'[3]TONG HOP'!$L$31:$L$400,0),338)</f>
        <v>#REF!</v>
      </c>
      <c r="AB224" s="291" t="e">
        <f>INDEX('[3]TONG HOP'!#REF!,MATCH(D224,'[3]TONG HOP'!$L$31:$L$400,0),367)</f>
        <v>#REF!</v>
      </c>
      <c r="AC224" s="296">
        <v>2273.545</v>
      </c>
      <c r="AD224" s="291" t="e">
        <f>INDEX('[3]TONG HOP'!#REF!,MATCH(D224,'[3]TONG HOP'!$L$31:$L$400,0),4)</f>
        <v>#REF!</v>
      </c>
      <c r="AE224" s="292">
        <f>INDEX('[4]BIeu 03KBQT'!$A$11:$X$178,MATCH(D224,'[4]BIeu 03KBQT'!$D$11:$D$178,0),6)/1000000</f>
        <v>2273.545</v>
      </c>
      <c r="AF224" s="293">
        <f>AE224-F224</f>
        <v>0</v>
      </c>
      <c r="AG224" s="294">
        <f>INDEX('[4]BIeu 03KBQT'!$A$11:$X$178,MATCH(D224,'[4]BIeu 03KBQT'!$D$11:$D$178,0),24)/1000000</f>
        <v>2288.355</v>
      </c>
      <c r="AH224" s="297"/>
    </row>
    <row r="225" spans="1:34" s="236" customFormat="1" ht="13.5">
      <c r="A225" s="329"/>
      <c r="B225" s="239" t="s">
        <v>302</v>
      </c>
      <c r="C225" s="330"/>
      <c r="D225" s="329"/>
      <c r="E225" s="328"/>
      <c r="F225" s="205"/>
      <c r="G225" s="328"/>
      <c r="H225" s="333"/>
      <c r="I225" s="328"/>
      <c r="J225" s="328"/>
      <c r="K225" s="328"/>
      <c r="L225" s="328"/>
      <c r="M225" s="328"/>
      <c r="N225" s="328"/>
      <c r="O225" s="328"/>
      <c r="P225" s="328"/>
      <c r="Q225" s="328"/>
      <c r="R225" s="328"/>
      <c r="S225" s="328"/>
      <c r="T225" s="328"/>
      <c r="U225" s="328"/>
      <c r="V225" s="332"/>
      <c r="W225" s="328"/>
      <c r="X225" s="333"/>
      <c r="AA225" s="201"/>
      <c r="AB225" s="201"/>
      <c r="AC225" s="237"/>
      <c r="AD225" s="214"/>
      <c r="AG225" s="213"/>
      <c r="AH225" s="238"/>
    </row>
    <row r="226" spans="1:34" s="236" customFormat="1" ht="13.5">
      <c r="A226" s="329"/>
      <c r="B226" s="235" t="s">
        <v>303</v>
      </c>
      <c r="C226" s="330"/>
      <c r="D226" s="329"/>
      <c r="E226" s="328">
        <v>26896.555</v>
      </c>
      <c r="F226" s="205">
        <v>20476.685999999998</v>
      </c>
      <c r="G226" s="328">
        <v>976.611</v>
      </c>
      <c r="H226" s="333">
        <v>120.637</v>
      </c>
      <c r="I226" s="328">
        <v>855.974</v>
      </c>
      <c r="J226" s="328">
        <v>0</v>
      </c>
      <c r="K226" s="328">
        <v>0</v>
      </c>
      <c r="L226" s="328">
        <v>0</v>
      </c>
      <c r="M226" s="328">
        <v>0</v>
      </c>
      <c r="N226" s="328">
        <v>0</v>
      </c>
      <c r="O226" s="328">
        <v>0</v>
      </c>
      <c r="P226" s="328">
        <v>0</v>
      </c>
      <c r="Q226" s="328">
        <v>0</v>
      </c>
      <c r="R226" s="328">
        <v>0</v>
      </c>
      <c r="S226" s="328">
        <v>0</v>
      </c>
      <c r="T226" s="328">
        <v>0</v>
      </c>
      <c r="U226" s="328">
        <v>0</v>
      </c>
      <c r="V226" s="332">
        <v>855.974</v>
      </c>
      <c r="W226" s="328">
        <v>-1.1368683772161603E-13</v>
      </c>
      <c r="X226" s="333">
        <v>20356.049</v>
      </c>
      <c r="AA226" s="201"/>
      <c r="AB226" s="201"/>
      <c r="AC226" s="237"/>
      <c r="AD226" s="214"/>
      <c r="AG226" s="213"/>
      <c r="AH226" s="238"/>
    </row>
    <row r="227" spans="1:34" s="200" customFormat="1" ht="13.5">
      <c r="A227" s="329">
        <v>92</v>
      </c>
      <c r="B227" s="251" t="s">
        <v>441</v>
      </c>
      <c r="C227" s="329" t="s">
        <v>305</v>
      </c>
      <c r="D227" s="262">
        <v>7316774</v>
      </c>
      <c r="E227" s="328">
        <v>26896.555</v>
      </c>
      <c r="F227" s="232">
        <v>20476.685999999998</v>
      </c>
      <c r="G227" s="231">
        <v>976.611</v>
      </c>
      <c r="H227" s="233">
        <v>120.637</v>
      </c>
      <c r="I227" s="231">
        <v>855.974</v>
      </c>
      <c r="J227" s="328"/>
      <c r="K227" s="328"/>
      <c r="L227" s="328"/>
      <c r="M227" s="328"/>
      <c r="N227" s="328"/>
      <c r="O227" s="231">
        <v>0</v>
      </c>
      <c r="P227" s="328"/>
      <c r="Q227" s="328"/>
      <c r="R227" s="328"/>
      <c r="S227" s="328"/>
      <c r="T227" s="328"/>
      <c r="U227" s="231">
        <v>0</v>
      </c>
      <c r="V227" s="234">
        <v>855.974</v>
      </c>
      <c r="W227" s="231">
        <v>-1.1368683772161603E-13</v>
      </c>
      <c r="X227" s="233">
        <v>20356.049</v>
      </c>
      <c r="AA227" s="242" t="e">
        <f>INDEX('[3]TONG HOP'!#REF!,MATCH(D227,'[3]TONG HOP'!$L$31:$L$400,0),337)+INDEX('[3]TONG HOP'!#REF!,MATCH(D227,'[3]TONG HOP'!$L$31:$L$400,0),338)</f>
        <v>#REF!</v>
      </c>
      <c r="AB227" s="242" t="e">
        <f>INDEX('[3]TONG HOP'!#REF!,MATCH(D227,'[3]TONG HOP'!$L$31:$L$400,0),367)</f>
        <v>#REF!</v>
      </c>
      <c r="AC227" s="246" t="e">
        <f>INDEX('[3]TONG HOP'!#REF!,MATCH(D227,'[3]TONG HOP'!$L$31:$L$400,0),364)</f>
        <v>#REF!</v>
      </c>
      <c r="AD227" s="242" t="e">
        <f>INDEX('[3]TONG HOP'!#REF!,MATCH(D227,'[3]TONG HOP'!$L$31:$L$400,0),4)</f>
        <v>#REF!</v>
      </c>
      <c r="AE227" s="245">
        <f>INDEX('[4]BIeu 03KBQT'!$A$11:$X$178,MATCH(D227,'[4]BIeu 03KBQT'!$D$11:$D$178,0),6)/1000000</f>
        <v>20356.049</v>
      </c>
      <c r="AF227" s="298">
        <f>AE227-F227</f>
        <v>-120.6369999999988</v>
      </c>
      <c r="AG227" s="203">
        <f>INDEX('[4]BIeu 03KBQT'!$A$11:$X$178,MATCH(D227,'[4]BIeu 03KBQT'!$D$11:$D$178,0),24)/1000000</f>
        <v>20356.049</v>
      </c>
      <c r="AH227" s="204">
        <f>X227-AG227</f>
        <v>0</v>
      </c>
    </row>
    <row r="228" spans="1:34" s="236" customFormat="1" ht="13.5">
      <c r="A228" s="329"/>
      <c r="B228" s="239" t="s">
        <v>309</v>
      </c>
      <c r="C228" s="330"/>
      <c r="D228" s="287"/>
      <c r="E228" s="328">
        <v>1940</v>
      </c>
      <c r="F228" s="205">
        <v>1523.421</v>
      </c>
      <c r="G228" s="328">
        <v>6.413</v>
      </c>
      <c r="H228" s="333">
        <v>0</v>
      </c>
      <c r="I228" s="328">
        <v>6.413</v>
      </c>
      <c r="J228" s="328">
        <v>0</v>
      </c>
      <c r="K228" s="328">
        <v>0</v>
      </c>
      <c r="L228" s="328">
        <v>0</v>
      </c>
      <c r="M228" s="328">
        <v>0</v>
      </c>
      <c r="N228" s="328">
        <v>0</v>
      </c>
      <c r="O228" s="328">
        <v>0</v>
      </c>
      <c r="P228" s="328">
        <v>0</v>
      </c>
      <c r="Q228" s="328">
        <v>0</v>
      </c>
      <c r="R228" s="328">
        <v>0</v>
      </c>
      <c r="S228" s="328">
        <v>0</v>
      </c>
      <c r="T228" s="328">
        <v>0</v>
      </c>
      <c r="U228" s="328">
        <v>0</v>
      </c>
      <c r="V228" s="332">
        <v>6.413</v>
      </c>
      <c r="W228" s="328">
        <v>0</v>
      </c>
      <c r="X228" s="333">
        <v>1523.421</v>
      </c>
      <c r="AA228" s="201"/>
      <c r="AB228" s="201"/>
      <c r="AC228" s="237"/>
      <c r="AD228" s="214"/>
      <c r="AG228" s="213"/>
      <c r="AH228" s="238"/>
    </row>
    <row r="229" spans="1:34" s="200" customFormat="1" ht="27">
      <c r="A229" s="329">
        <v>93</v>
      </c>
      <c r="B229" s="251" t="s">
        <v>442</v>
      </c>
      <c r="C229" s="329" t="s">
        <v>305</v>
      </c>
      <c r="D229" s="287">
        <v>7511390</v>
      </c>
      <c r="E229" s="328">
        <v>1940</v>
      </c>
      <c r="F229" s="232">
        <v>1523.421</v>
      </c>
      <c r="G229" s="231">
        <v>6.413</v>
      </c>
      <c r="H229" s="233">
        <v>0</v>
      </c>
      <c r="I229" s="231">
        <v>6.413</v>
      </c>
      <c r="J229" s="328"/>
      <c r="K229" s="328"/>
      <c r="L229" s="328"/>
      <c r="M229" s="328"/>
      <c r="N229" s="328"/>
      <c r="O229" s="231">
        <v>0</v>
      </c>
      <c r="P229" s="328"/>
      <c r="Q229" s="328"/>
      <c r="R229" s="328"/>
      <c r="S229" s="328"/>
      <c r="T229" s="328"/>
      <c r="U229" s="231">
        <v>0</v>
      </c>
      <c r="V229" s="234">
        <v>6.413</v>
      </c>
      <c r="W229" s="231">
        <v>0</v>
      </c>
      <c r="X229" s="233">
        <v>1523.421</v>
      </c>
      <c r="AA229" s="242" t="e">
        <f>INDEX('[3]TONG HOP'!#REF!,MATCH(D229,'[3]TONG HOP'!$L$31:$L$400,0),337)+INDEX('[3]TONG HOP'!#REF!,MATCH(D229,'[3]TONG HOP'!$L$31:$L$400,0),338)</f>
        <v>#REF!</v>
      </c>
      <c r="AB229" s="242" t="e">
        <f>INDEX('[3]TONG HOP'!#REF!,MATCH(D229,'[3]TONG HOP'!$L$31:$L$400,0),367)</f>
        <v>#REF!</v>
      </c>
      <c r="AC229" s="246" t="e">
        <f>INDEX('[3]TONG HOP'!#REF!,MATCH(D229,'[3]TONG HOP'!$L$31:$L$400,0),364)</f>
        <v>#REF!</v>
      </c>
      <c r="AD229" s="242" t="e">
        <f>INDEX('[3]TONG HOP'!#REF!,MATCH(D229,'[3]TONG HOP'!$L$31:$L$400,0),4)</f>
        <v>#REF!</v>
      </c>
      <c r="AE229" s="245">
        <f>INDEX('[4]BIeu 03KBQT'!$A$11:$X$178,MATCH(D229,'[4]BIeu 03KBQT'!$D$11:$D$178,0),6)/1000000</f>
        <v>1523.421</v>
      </c>
      <c r="AF229" s="244">
        <f>AE229-F229</f>
        <v>0</v>
      </c>
      <c r="AG229" s="203">
        <f>INDEX('[4]BIeu 03KBQT'!$A$11:$X$178,MATCH(D229,'[4]BIeu 03KBQT'!$D$11:$D$178,0),24)/1000000</f>
        <v>1523.421</v>
      </c>
      <c r="AH229" s="204">
        <f>X229-AG229</f>
        <v>0</v>
      </c>
    </row>
    <row r="230" spans="1:34" s="236" customFormat="1" ht="13.5">
      <c r="A230" s="329"/>
      <c r="B230" s="235" t="s">
        <v>310</v>
      </c>
      <c r="C230" s="330"/>
      <c r="D230" s="329"/>
      <c r="E230" s="328"/>
      <c r="F230" s="205"/>
      <c r="G230" s="328"/>
      <c r="H230" s="333"/>
      <c r="I230" s="328"/>
      <c r="J230" s="328"/>
      <c r="K230" s="328"/>
      <c r="L230" s="328"/>
      <c r="M230" s="328"/>
      <c r="N230" s="328"/>
      <c r="O230" s="328"/>
      <c r="P230" s="328"/>
      <c r="Q230" s="328"/>
      <c r="R230" s="328"/>
      <c r="S230" s="328"/>
      <c r="T230" s="328"/>
      <c r="U230" s="328"/>
      <c r="V230" s="332"/>
      <c r="W230" s="328"/>
      <c r="X230" s="333"/>
      <c r="AA230" s="201"/>
      <c r="AB230" s="201"/>
      <c r="AC230" s="237"/>
      <c r="AD230" s="214"/>
      <c r="AG230" s="213"/>
      <c r="AH230" s="238"/>
    </row>
    <row r="231" spans="1:34" s="236" customFormat="1" ht="13.5">
      <c r="A231" s="329"/>
      <c r="B231" s="235" t="s">
        <v>311</v>
      </c>
      <c r="C231" s="330"/>
      <c r="D231" s="329"/>
      <c r="E231" s="328"/>
      <c r="F231" s="205"/>
      <c r="G231" s="328"/>
      <c r="H231" s="333"/>
      <c r="I231" s="328"/>
      <c r="J231" s="328"/>
      <c r="K231" s="328"/>
      <c r="L231" s="328"/>
      <c r="M231" s="328"/>
      <c r="N231" s="328"/>
      <c r="O231" s="328"/>
      <c r="P231" s="328"/>
      <c r="Q231" s="328"/>
      <c r="R231" s="328"/>
      <c r="S231" s="328"/>
      <c r="T231" s="328"/>
      <c r="U231" s="328"/>
      <c r="V231" s="332"/>
      <c r="W231" s="328"/>
      <c r="X231" s="333"/>
      <c r="AA231" s="201"/>
      <c r="AB231" s="201"/>
      <c r="AC231" s="237"/>
      <c r="AD231" s="214"/>
      <c r="AG231" s="213"/>
      <c r="AH231" s="238"/>
    </row>
    <row r="232" spans="1:34" s="236" customFormat="1" ht="13.5">
      <c r="A232" s="329"/>
      <c r="B232" s="235" t="s">
        <v>312</v>
      </c>
      <c r="C232" s="330"/>
      <c r="D232" s="329"/>
      <c r="E232" s="328"/>
      <c r="F232" s="205"/>
      <c r="G232" s="328"/>
      <c r="H232" s="333"/>
      <c r="I232" s="328"/>
      <c r="J232" s="328"/>
      <c r="K232" s="328"/>
      <c r="L232" s="328"/>
      <c r="M232" s="328"/>
      <c r="N232" s="328"/>
      <c r="O232" s="328"/>
      <c r="P232" s="328"/>
      <c r="Q232" s="328"/>
      <c r="R232" s="328"/>
      <c r="S232" s="328"/>
      <c r="T232" s="328"/>
      <c r="U232" s="328"/>
      <c r="V232" s="332"/>
      <c r="W232" s="328"/>
      <c r="X232" s="333"/>
      <c r="AA232" s="201"/>
      <c r="AB232" s="201"/>
      <c r="AC232" s="237"/>
      <c r="AD232" s="214"/>
      <c r="AG232" s="213"/>
      <c r="AH232" s="238"/>
    </row>
    <row r="233" spans="1:34" s="236" customFormat="1" ht="13.5">
      <c r="A233" s="329"/>
      <c r="B233" s="235" t="s">
        <v>313</v>
      </c>
      <c r="C233" s="330"/>
      <c r="D233" s="329"/>
      <c r="E233" s="328"/>
      <c r="F233" s="205"/>
      <c r="G233" s="328"/>
      <c r="H233" s="333"/>
      <c r="I233" s="328"/>
      <c r="J233" s="328"/>
      <c r="K233" s="328"/>
      <c r="L233" s="328"/>
      <c r="M233" s="328"/>
      <c r="N233" s="328"/>
      <c r="O233" s="328"/>
      <c r="P233" s="328"/>
      <c r="Q233" s="328"/>
      <c r="R233" s="328"/>
      <c r="S233" s="328"/>
      <c r="T233" s="328"/>
      <c r="U233" s="328"/>
      <c r="V233" s="332"/>
      <c r="W233" s="328"/>
      <c r="X233" s="333"/>
      <c r="AA233" s="201"/>
      <c r="AB233" s="201"/>
      <c r="AC233" s="237"/>
      <c r="AD233" s="214"/>
      <c r="AG233" s="213"/>
      <c r="AH233" s="238"/>
    </row>
    <row r="234" spans="1:34" s="200" customFormat="1" ht="13.5">
      <c r="A234" s="329" t="s">
        <v>32</v>
      </c>
      <c r="B234" s="215" t="s">
        <v>392</v>
      </c>
      <c r="C234" s="330"/>
      <c r="D234" s="329"/>
      <c r="E234" s="328">
        <v>0</v>
      </c>
      <c r="F234" s="205">
        <v>0</v>
      </c>
      <c r="G234" s="328">
        <v>0</v>
      </c>
      <c r="H234" s="333">
        <v>0</v>
      </c>
      <c r="I234" s="328">
        <v>0</v>
      </c>
      <c r="J234" s="328">
        <v>0</v>
      </c>
      <c r="K234" s="328">
        <v>0</v>
      </c>
      <c r="L234" s="328">
        <v>0</v>
      </c>
      <c r="M234" s="328">
        <v>0</v>
      </c>
      <c r="N234" s="328">
        <v>0</v>
      </c>
      <c r="O234" s="328">
        <v>0</v>
      </c>
      <c r="P234" s="328">
        <v>0</v>
      </c>
      <c r="Q234" s="328">
        <v>0</v>
      </c>
      <c r="R234" s="328">
        <v>0</v>
      </c>
      <c r="S234" s="328">
        <v>0</v>
      </c>
      <c r="T234" s="328">
        <v>0</v>
      </c>
      <c r="U234" s="328">
        <v>0</v>
      </c>
      <c r="V234" s="332">
        <v>0</v>
      </c>
      <c r="W234" s="328">
        <v>0</v>
      </c>
      <c r="X234" s="333">
        <v>0</v>
      </c>
      <c r="AA234" s="201"/>
      <c r="AB234" s="201"/>
      <c r="AC234" s="202"/>
      <c r="AD234" s="214"/>
      <c r="AG234" s="203"/>
      <c r="AH234" s="204"/>
    </row>
    <row r="235" spans="1:34" s="200" customFormat="1" ht="13.5">
      <c r="A235" s="329"/>
      <c r="B235" s="215" t="s">
        <v>407</v>
      </c>
      <c r="C235" s="330"/>
      <c r="D235" s="329"/>
      <c r="E235" s="328">
        <v>0</v>
      </c>
      <c r="F235" s="205">
        <v>0</v>
      </c>
      <c r="G235" s="328">
        <v>0</v>
      </c>
      <c r="H235" s="333">
        <v>0</v>
      </c>
      <c r="I235" s="328">
        <v>0</v>
      </c>
      <c r="J235" s="328">
        <v>0</v>
      </c>
      <c r="K235" s="328">
        <v>0</v>
      </c>
      <c r="L235" s="328">
        <v>0</v>
      </c>
      <c r="M235" s="328">
        <v>0</v>
      </c>
      <c r="N235" s="328">
        <v>0</v>
      </c>
      <c r="O235" s="328">
        <v>0</v>
      </c>
      <c r="P235" s="328">
        <v>0</v>
      </c>
      <c r="Q235" s="328">
        <v>0</v>
      </c>
      <c r="R235" s="328">
        <v>0</v>
      </c>
      <c r="S235" s="328">
        <v>0</v>
      </c>
      <c r="T235" s="328">
        <v>0</v>
      </c>
      <c r="U235" s="328">
        <v>0</v>
      </c>
      <c r="V235" s="332">
        <v>0</v>
      </c>
      <c r="W235" s="328">
        <v>0</v>
      </c>
      <c r="X235" s="333">
        <v>0</v>
      </c>
      <c r="Y235" s="327">
        <v>0</v>
      </c>
      <c r="Z235" s="327">
        <v>0</v>
      </c>
      <c r="AA235" s="327">
        <v>0</v>
      </c>
      <c r="AB235" s="327">
        <v>0</v>
      </c>
      <c r="AC235" s="327">
        <v>0</v>
      </c>
      <c r="AD235" s="214"/>
      <c r="AG235" s="203"/>
      <c r="AH235" s="204"/>
    </row>
    <row r="236" spans="1:34" s="200" customFormat="1" ht="13.5">
      <c r="A236" s="329" t="s">
        <v>6</v>
      </c>
      <c r="B236" s="215" t="s">
        <v>408</v>
      </c>
      <c r="C236" s="330"/>
      <c r="D236" s="329"/>
      <c r="E236" s="328"/>
      <c r="F236" s="205"/>
      <c r="G236" s="328"/>
      <c r="H236" s="333"/>
      <c r="I236" s="328"/>
      <c r="J236" s="328"/>
      <c r="K236" s="328"/>
      <c r="L236" s="328"/>
      <c r="M236" s="328"/>
      <c r="N236" s="328"/>
      <c r="O236" s="328"/>
      <c r="P236" s="328"/>
      <c r="Q236" s="328"/>
      <c r="R236" s="328"/>
      <c r="S236" s="328"/>
      <c r="T236" s="328"/>
      <c r="U236" s="328"/>
      <c r="V236" s="332"/>
      <c r="W236" s="328"/>
      <c r="X236" s="333"/>
      <c r="AA236" s="201"/>
      <c r="AB236" s="201"/>
      <c r="AC236" s="202"/>
      <c r="AD236" s="214"/>
      <c r="AG236" s="203"/>
      <c r="AH236" s="204"/>
    </row>
    <row r="237" spans="1:34" s="200" customFormat="1" ht="13.5">
      <c r="A237" s="329" t="s">
        <v>409</v>
      </c>
      <c r="B237" s="215" t="s">
        <v>410</v>
      </c>
      <c r="C237" s="330"/>
      <c r="D237" s="329"/>
      <c r="E237" s="328"/>
      <c r="F237" s="205"/>
      <c r="G237" s="328"/>
      <c r="H237" s="333"/>
      <c r="I237" s="328"/>
      <c r="J237" s="328"/>
      <c r="K237" s="328"/>
      <c r="L237" s="328"/>
      <c r="M237" s="328"/>
      <c r="N237" s="328"/>
      <c r="O237" s="328"/>
      <c r="P237" s="328"/>
      <c r="Q237" s="328"/>
      <c r="R237" s="328"/>
      <c r="S237" s="328"/>
      <c r="T237" s="328"/>
      <c r="U237" s="328"/>
      <c r="V237" s="332"/>
      <c r="W237" s="328"/>
      <c r="X237" s="333"/>
      <c r="AA237" s="201"/>
      <c r="AB237" s="201"/>
      <c r="AC237" s="202"/>
      <c r="AD237" s="214"/>
      <c r="AG237" s="203"/>
      <c r="AH237" s="204"/>
    </row>
    <row r="238" spans="1:34" s="200" customFormat="1" ht="14.25">
      <c r="A238" s="252">
        <v>1</v>
      </c>
      <c r="B238" s="253" t="s">
        <v>411</v>
      </c>
      <c r="C238" s="254"/>
      <c r="D238" s="252"/>
      <c r="E238" s="255"/>
      <c r="F238" s="256"/>
      <c r="G238" s="255"/>
      <c r="H238" s="257"/>
      <c r="I238" s="255"/>
      <c r="J238" s="255"/>
      <c r="K238" s="255"/>
      <c r="L238" s="255"/>
      <c r="M238" s="255"/>
      <c r="N238" s="255"/>
      <c r="O238" s="255"/>
      <c r="P238" s="255"/>
      <c r="Q238" s="255"/>
      <c r="R238" s="255"/>
      <c r="S238" s="255"/>
      <c r="T238" s="255"/>
      <c r="U238" s="255"/>
      <c r="V238" s="258"/>
      <c r="W238" s="255"/>
      <c r="X238" s="257"/>
      <c r="AA238" s="201"/>
      <c r="AB238" s="201"/>
      <c r="AC238" s="202"/>
      <c r="AG238" s="203"/>
      <c r="AH238" s="204"/>
    </row>
    <row r="239" spans="1:34" s="200" customFormat="1" ht="13.5">
      <c r="A239" s="329"/>
      <c r="B239" s="259" t="s">
        <v>412</v>
      </c>
      <c r="C239" s="329"/>
      <c r="D239" s="329"/>
      <c r="E239" s="231"/>
      <c r="F239" s="232"/>
      <c r="G239" s="231"/>
      <c r="H239" s="233"/>
      <c r="I239" s="231"/>
      <c r="J239" s="231"/>
      <c r="K239" s="231"/>
      <c r="L239" s="231"/>
      <c r="M239" s="231"/>
      <c r="N239" s="231"/>
      <c r="O239" s="231"/>
      <c r="P239" s="231"/>
      <c r="Q239" s="231"/>
      <c r="R239" s="231"/>
      <c r="S239" s="231"/>
      <c r="T239" s="231"/>
      <c r="U239" s="231"/>
      <c r="V239" s="234"/>
      <c r="W239" s="231"/>
      <c r="X239" s="233"/>
      <c r="AA239" s="201"/>
      <c r="AB239" s="201"/>
      <c r="AC239" s="202"/>
      <c r="AG239" s="203"/>
      <c r="AH239" s="204"/>
    </row>
    <row r="240" spans="1:34" s="200" customFormat="1" ht="14.25">
      <c r="A240" s="252">
        <v>2</v>
      </c>
      <c r="B240" s="253" t="s">
        <v>413</v>
      </c>
      <c r="C240" s="254"/>
      <c r="D240" s="252"/>
      <c r="E240" s="255"/>
      <c r="F240" s="256"/>
      <c r="G240" s="255"/>
      <c r="H240" s="257"/>
      <c r="I240" s="255"/>
      <c r="J240" s="255"/>
      <c r="K240" s="255"/>
      <c r="L240" s="255"/>
      <c r="M240" s="255"/>
      <c r="N240" s="255"/>
      <c r="O240" s="255"/>
      <c r="P240" s="255"/>
      <c r="Q240" s="255"/>
      <c r="R240" s="255"/>
      <c r="S240" s="255"/>
      <c r="T240" s="255"/>
      <c r="U240" s="255"/>
      <c r="V240" s="258"/>
      <c r="W240" s="255"/>
      <c r="X240" s="257"/>
      <c r="AA240" s="201"/>
      <c r="AB240" s="201"/>
      <c r="AC240" s="202"/>
      <c r="AG240" s="203"/>
      <c r="AH240" s="204"/>
    </row>
    <row r="241" spans="1:34" s="200" customFormat="1" ht="13.5">
      <c r="A241" s="329"/>
      <c r="B241" s="259" t="s">
        <v>412</v>
      </c>
      <c r="C241" s="329"/>
      <c r="D241" s="329"/>
      <c r="E241" s="231"/>
      <c r="F241" s="232"/>
      <c r="G241" s="231"/>
      <c r="H241" s="233"/>
      <c r="I241" s="231"/>
      <c r="J241" s="231"/>
      <c r="K241" s="231"/>
      <c r="L241" s="231"/>
      <c r="M241" s="231"/>
      <c r="N241" s="231"/>
      <c r="O241" s="231"/>
      <c r="P241" s="231"/>
      <c r="Q241" s="231"/>
      <c r="R241" s="231"/>
      <c r="S241" s="231"/>
      <c r="T241" s="231"/>
      <c r="U241" s="231"/>
      <c r="V241" s="234"/>
      <c r="W241" s="231"/>
      <c r="X241" s="233"/>
      <c r="AA241" s="201"/>
      <c r="AB241" s="201"/>
      <c r="AC241" s="202"/>
      <c r="AG241" s="203"/>
      <c r="AH241" s="204"/>
    </row>
    <row r="242" spans="1:34" s="200" customFormat="1" ht="14.25">
      <c r="A242" s="252">
        <v>3</v>
      </c>
      <c r="B242" s="253" t="s">
        <v>414</v>
      </c>
      <c r="C242" s="254"/>
      <c r="D242" s="252"/>
      <c r="E242" s="255"/>
      <c r="F242" s="256"/>
      <c r="G242" s="255"/>
      <c r="H242" s="257"/>
      <c r="I242" s="255"/>
      <c r="J242" s="255"/>
      <c r="K242" s="255"/>
      <c r="L242" s="255"/>
      <c r="M242" s="255"/>
      <c r="N242" s="255"/>
      <c r="O242" s="255"/>
      <c r="P242" s="255"/>
      <c r="Q242" s="255"/>
      <c r="R242" s="255"/>
      <c r="S242" s="255"/>
      <c r="T242" s="255"/>
      <c r="U242" s="255"/>
      <c r="V242" s="258"/>
      <c r="W242" s="255"/>
      <c r="X242" s="257"/>
      <c r="AA242" s="201"/>
      <c r="AB242" s="201"/>
      <c r="AC242" s="202"/>
      <c r="AG242" s="203"/>
      <c r="AH242" s="204"/>
    </row>
    <row r="243" spans="1:34" s="200" customFormat="1" ht="13.5">
      <c r="A243" s="329"/>
      <c r="B243" s="259" t="s">
        <v>405</v>
      </c>
      <c r="C243" s="329"/>
      <c r="D243" s="329"/>
      <c r="E243" s="231"/>
      <c r="F243" s="232"/>
      <c r="G243" s="231"/>
      <c r="H243" s="233"/>
      <c r="I243" s="231"/>
      <c r="J243" s="231"/>
      <c r="K243" s="231"/>
      <c r="L243" s="231"/>
      <c r="M243" s="231"/>
      <c r="N243" s="231"/>
      <c r="O243" s="231"/>
      <c r="P243" s="231"/>
      <c r="Q243" s="231"/>
      <c r="R243" s="231"/>
      <c r="S243" s="231"/>
      <c r="T243" s="231"/>
      <c r="U243" s="231"/>
      <c r="V243" s="234"/>
      <c r="W243" s="231"/>
      <c r="X243" s="233"/>
      <c r="AA243" s="201"/>
      <c r="AB243" s="201"/>
      <c r="AC243" s="202"/>
      <c r="AG243" s="203"/>
      <c r="AH243" s="204"/>
    </row>
    <row r="244" spans="1:34" s="200" customFormat="1" ht="40.5">
      <c r="A244" s="329" t="s">
        <v>415</v>
      </c>
      <c r="B244" s="215" t="s">
        <v>416</v>
      </c>
      <c r="C244" s="330"/>
      <c r="D244" s="329"/>
      <c r="E244" s="328"/>
      <c r="F244" s="205"/>
      <c r="G244" s="328"/>
      <c r="H244" s="333"/>
      <c r="I244" s="328"/>
      <c r="J244" s="328"/>
      <c r="K244" s="328"/>
      <c r="L244" s="328"/>
      <c r="M244" s="328"/>
      <c r="N244" s="328"/>
      <c r="O244" s="328"/>
      <c r="P244" s="328"/>
      <c r="Q244" s="328"/>
      <c r="R244" s="328"/>
      <c r="S244" s="328"/>
      <c r="T244" s="328"/>
      <c r="U244" s="328"/>
      <c r="V244" s="332"/>
      <c r="W244" s="328"/>
      <c r="X244" s="333"/>
      <c r="AA244" s="201"/>
      <c r="AB244" s="201"/>
      <c r="AC244" s="202"/>
      <c r="AG244" s="203"/>
      <c r="AH244" s="204"/>
    </row>
    <row r="245" spans="1:34" s="200" customFormat="1" ht="14.25">
      <c r="A245" s="252"/>
      <c r="B245" s="253" t="s">
        <v>414</v>
      </c>
      <c r="C245" s="254"/>
      <c r="D245" s="252"/>
      <c r="E245" s="255"/>
      <c r="F245" s="256"/>
      <c r="G245" s="255"/>
      <c r="H245" s="257"/>
      <c r="I245" s="255"/>
      <c r="J245" s="255"/>
      <c r="K245" s="255"/>
      <c r="L245" s="255"/>
      <c r="M245" s="255"/>
      <c r="N245" s="255"/>
      <c r="O245" s="255"/>
      <c r="P245" s="255"/>
      <c r="Q245" s="255"/>
      <c r="R245" s="255"/>
      <c r="S245" s="255"/>
      <c r="T245" s="255"/>
      <c r="U245" s="255"/>
      <c r="V245" s="258"/>
      <c r="W245" s="255"/>
      <c r="X245" s="257"/>
      <c r="AA245" s="201"/>
      <c r="AB245" s="201"/>
      <c r="AC245" s="202"/>
      <c r="AG245" s="203"/>
      <c r="AH245" s="204"/>
    </row>
    <row r="246" spans="1:34" s="200" customFormat="1" ht="13.5">
      <c r="A246" s="329"/>
      <c r="B246" s="259" t="s">
        <v>412</v>
      </c>
      <c r="C246" s="329"/>
      <c r="D246" s="329"/>
      <c r="E246" s="231"/>
      <c r="F246" s="232"/>
      <c r="G246" s="231"/>
      <c r="H246" s="233"/>
      <c r="I246" s="231"/>
      <c r="J246" s="231"/>
      <c r="K246" s="231"/>
      <c r="L246" s="231"/>
      <c r="M246" s="231"/>
      <c r="N246" s="231"/>
      <c r="O246" s="231"/>
      <c r="P246" s="231"/>
      <c r="Q246" s="231"/>
      <c r="R246" s="231"/>
      <c r="S246" s="231"/>
      <c r="T246" s="231"/>
      <c r="U246" s="231"/>
      <c r="V246" s="234"/>
      <c r="W246" s="231"/>
      <c r="X246" s="233"/>
      <c r="AA246" s="201"/>
      <c r="AB246" s="201"/>
      <c r="AC246" s="202"/>
      <c r="AG246" s="203"/>
      <c r="AH246" s="204"/>
    </row>
    <row r="247" spans="1:34" s="200" customFormat="1" ht="27">
      <c r="A247" s="329" t="s">
        <v>39</v>
      </c>
      <c r="B247" s="215" t="s">
        <v>417</v>
      </c>
      <c r="C247" s="330"/>
      <c r="D247" s="329"/>
      <c r="E247" s="328"/>
      <c r="F247" s="205"/>
      <c r="G247" s="328"/>
      <c r="H247" s="333"/>
      <c r="I247" s="328"/>
      <c r="J247" s="328"/>
      <c r="K247" s="328"/>
      <c r="L247" s="328"/>
      <c r="M247" s="328"/>
      <c r="N247" s="328"/>
      <c r="O247" s="328"/>
      <c r="P247" s="328"/>
      <c r="Q247" s="328"/>
      <c r="R247" s="328"/>
      <c r="S247" s="328"/>
      <c r="T247" s="328"/>
      <c r="U247" s="328"/>
      <c r="V247" s="332"/>
      <c r="W247" s="328"/>
      <c r="X247" s="333"/>
      <c r="AA247" s="201"/>
      <c r="AB247" s="201"/>
      <c r="AC247" s="202"/>
      <c r="AG247" s="203"/>
      <c r="AH247" s="204"/>
    </row>
    <row r="248" spans="1:34" s="200" customFormat="1" ht="13.5">
      <c r="A248" s="329">
        <v>1</v>
      </c>
      <c r="B248" s="259" t="s">
        <v>412</v>
      </c>
      <c r="C248" s="329"/>
      <c r="D248" s="329"/>
      <c r="E248" s="231"/>
      <c r="F248" s="232"/>
      <c r="G248" s="231"/>
      <c r="H248" s="233"/>
      <c r="I248" s="231"/>
      <c r="J248" s="231"/>
      <c r="K248" s="231"/>
      <c r="L248" s="231"/>
      <c r="M248" s="231"/>
      <c r="N248" s="231"/>
      <c r="O248" s="231"/>
      <c r="P248" s="231"/>
      <c r="Q248" s="231"/>
      <c r="R248" s="231"/>
      <c r="S248" s="231"/>
      <c r="T248" s="231"/>
      <c r="U248" s="231"/>
      <c r="V248" s="234"/>
      <c r="W248" s="231"/>
      <c r="X248" s="233"/>
      <c r="AA248" s="201"/>
      <c r="AB248" s="201"/>
      <c r="AC248" s="202"/>
      <c r="AG248" s="203"/>
      <c r="AH248" s="204"/>
    </row>
    <row r="249" spans="1:34" s="200" customFormat="1" ht="13.5">
      <c r="A249" s="329">
        <v>2</v>
      </c>
      <c r="B249" s="259" t="s">
        <v>412</v>
      </c>
      <c r="C249" s="329"/>
      <c r="D249" s="329"/>
      <c r="E249" s="231"/>
      <c r="F249" s="232"/>
      <c r="G249" s="231"/>
      <c r="H249" s="233"/>
      <c r="I249" s="231"/>
      <c r="J249" s="231"/>
      <c r="K249" s="231"/>
      <c r="L249" s="231"/>
      <c r="M249" s="231"/>
      <c r="N249" s="231"/>
      <c r="O249" s="231"/>
      <c r="P249" s="231"/>
      <c r="Q249" s="231"/>
      <c r="R249" s="231"/>
      <c r="S249" s="231"/>
      <c r="T249" s="231"/>
      <c r="U249" s="231"/>
      <c r="V249" s="234"/>
      <c r="W249" s="231"/>
      <c r="X249" s="233"/>
      <c r="AA249" s="201"/>
      <c r="AB249" s="201"/>
      <c r="AC249" s="202"/>
      <c r="AG249" s="203"/>
      <c r="AH249" s="204"/>
    </row>
    <row r="250" spans="1:34" s="200" customFormat="1" ht="27">
      <c r="A250" s="329" t="s">
        <v>196</v>
      </c>
      <c r="B250" s="215" t="s">
        <v>418</v>
      </c>
      <c r="C250" s="330"/>
      <c r="D250" s="329"/>
      <c r="E250" s="328"/>
      <c r="F250" s="205"/>
      <c r="G250" s="328"/>
      <c r="H250" s="333"/>
      <c r="I250" s="328"/>
      <c r="J250" s="328"/>
      <c r="K250" s="328"/>
      <c r="L250" s="328"/>
      <c r="M250" s="328"/>
      <c r="N250" s="328"/>
      <c r="O250" s="328"/>
      <c r="P250" s="328"/>
      <c r="Q250" s="328"/>
      <c r="R250" s="328"/>
      <c r="S250" s="328"/>
      <c r="T250" s="328"/>
      <c r="U250" s="328"/>
      <c r="V250" s="332"/>
      <c r="W250" s="328"/>
      <c r="X250" s="333"/>
      <c r="AA250" s="201"/>
      <c r="AB250" s="201"/>
      <c r="AC250" s="202"/>
      <c r="AG250" s="203"/>
      <c r="AH250" s="204"/>
    </row>
    <row r="251" spans="1:34" s="200" customFormat="1" ht="13.5">
      <c r="A251" s="329">
        <v>1</v>
      </c>
      <c r="B251" s="215" t="s">
        <v>419</v>
      </c>
      <c r="C251" s="330"/>
      <c r="D251" s="329"/>
      <c r="E251" s="328"/>
      <c r="F251" s="205"/>
      <c r="G251" s="328"/>
      <c r="H251" s="333"/>
      <c r="I251" s="328"/>
      <c r="J251" s="328"/>
      <c r="K251" s="328"/>
      <c r="L251" s="328"/>
      <c r="M251" s="328"/>
      <c r="N251" s="328"/>
      <c r="O251" s="328"/>
      <c r="P251" s="328"/>
      <c r="Q251" s="328"/>
      <c r="R251" s="328"/>
      <c r="S251" s="328"/>
      <c r="T251" s="328"/>
      <c r="U251" s="328"/>
      <c r="V251" s="332"/>
      <c r="W251" s="328"/>
      <c r="X251" s="333"/>
      <c r="AA251" s="201"/>
      <c r="AB251" s="201"/>
      <c r="AC251" s="202"/>
      <c r="AG251" s="203"/>
      <c r="AH251" s="204"/>
    </row>
    <row r="252" spans="1:34" s="200" customFormat="1" ht="13.5">
      <c r="A252" s="329"/>
      <c r="B252" s="259" t="s">
        <v>412</v>
      </c>
      <c r="C252" s="329"/>
      <c r="D252" s="329"/>
      <c r="E252" s="231"/>
      <c r="F252" s="232"/>
      <c r="G252" s="231"/>
      <c r="H252" s="233"/>
      <c r="I252" s="231"/>
      <c r="J252" s="231"/>
      <c r="K252" s="231"/>
      <c r="L252" s="231"/>
      <c r="M252" s="231"/>
      <c r="N252" s="231"/>
      <c r="O252" s="231"/>
      <c r="P252" s="231"/>
      <c r="Q252" s="231"/>
      <c r="R252" s="231"/>
      <c r="S252" s="231"/>
      <c r="T252" s="231"/>
      <c r="U252" s="231"/>
      <c r="V252" s="234"/>
      <c r="W252" s="231"/>
      <c r="X252" s="233"/>
      <c r="AA252" s="201"/>
      <c r="AB252" s="201"/>
      <c r="AC252" s="202"/>
      <c r="AG252" s="203"/>
      <c r="AH252" s="204"/>
    </row>
    <row r="253" spans="1:34" s="200" customFormat="1" ht="13.5">
      <c r="A253" s="329" t="s">
        <v>25</v>
      </c>
      <c r="B253" s="215" t="s">
        <v>419</v>
      </c>
      <c r="C253" s="330"/>
      <c r="D253" s="329"/>
      <c r="E253" s="328"/>
      <c r="F253" s="205"/>
      <c r="G253" s="328"/>
      <c r="H253" s="333"/>
      <c r="I253" s="328"/>
      <c r="J253" s="328"/>
      <c r="K253" s="328"/>
      <c r="L253" s="328"/>
      <c r="M253" s="328"/>
      <c r="N253" s="328"/>
      <c r="O253" s="328"/>
      <c r="P253" s="328"/>
      <c r="Q253" s="328"/>
      <c r="R253" s="328"/>
      <c r="S253" s="328"/>
      <c r="T253" s="328"/>
      <c r="U253" s="328"/>
      <c r="V253" s="332"/>
      <c r="W253" s="328"/>
      <c r="X253" s="333"/>
      <c r="AA253" s="201"/>
      <c r="AB253" s="201"/>
      <c r="AC253" s="202"/>
      <c r="AG253" s="203"/>
      <c r="AH253" s="204"/>
    </row>
    <row r="254" spans="1:34" s="200" customFormat="1" ht="13.5">
      <c r="A254" s="329"/>
      <c r="B254" s="259" t="s">
        <v>412</v>
      </c>
      <c r="C254" s="329"/>
      <c r="D254" s="329"/>
      <c r="E254" s="231"/>
      <c r="F254" s="232"/>
      <c r="G254" s="231"/>
      <c r="H254" s="233"/>
      <c r="I254" s="231"/>
      <c r="J254" s="231"/>
      <c r="K254" s="231"/>
      <c r="L254" s="231"/>
      <c r="M254" s="231"/>
      <c r="N254" s="231"/>
      <c r="O254" s="231"/>
      <c r="P254" s="231"/>
      <c r="Q254" s="231"/>
      <c r="R254" s="231"/>
      <c r="S254" s="231"/>
      <c r="T254" s="231"/>
      <c r="U254" s="231"/>
      <c r="V254" s="234"/>
      <c r="W254" s="231"/>
      <c r="X254" s="233"/>
      <c r="AA254" s="201"/>
      <c r="AB254" s="201"/>
      <c r="AC254" s="202"/>
      <c r="AG254" s="203"/>
      <c r="AH254" s="204"/>
    </row>
    <row r="255" spans="1:34" s="200" customFormat="1" ht="13.5">
      <c r="A255" s="329"/>
      <c r="B255" s="259"/>
      <c r="C255" s="329"/>
      <c r="D255" s="329"/>
      <c r="E255" s="231"/>
      <c r="F255" s="232"/>
      <c r="G255" s="231"/>
      <c r="H255" s="233"/>
      <c r="I255" s="231"/>
      <c r="J255" s="231"/>
      <c r="K255" s="231"/>
      <c r="L255" s="231"/>
      <c r="M255" s="231"/>
      <c r="N255" s="231"/>
      <c r="O255" s="231"/>
      <c r="P255" s="231"/>
      <c r="Q255" s="231"/>
      <c r="R255" s="231"/>
      <c r="S255" s="231"/>
      <c r="T255" s="231"/>
      <c r="U255" s="231"/>
      <c r="V255" s="234"/>
      <c r="W255" s="231"/>
      <c r="X255" s="233"/>
      <c r="AA255" s="201"/>
      <c r="AB255" s="201"/>
      <c r="AC255" s="202"/>
      <c r="AG255" s="203"/>
      <c r="AH255" s="204"/>
    </row>
    <row r="256" spans="1:22" s="303" customFormat="1" ht="15.75" hidden="1">
      <c r="A256" s="299"/>
      <c r="B256" s="300"/>
      <c r="C256" s="780"/>
      <c r="D256" s="780"/>
      <c r="E256" s="301"/>
      <c r="F256" s="302"/>
      <c r="G256" s="302"/>
      <c r="H256" s="302"/>
      <c r="I256" s="780"/>
      <c r="J256" s="780"/>
      <c r="K256" s="302"/>
      <c r="L256" s="302"/>
      <c r="M256" s="302"/>
      <c r="N256" s="302"/>
      <c r="O256" s="302"/>
      <c r="P256" s="302"/>
      <c r="Q256" s="302"/>
      <c r="R256" s="302"/>
      <c r="S256" s="302"/>
      <c r="V256" s="304"/>
    </row>
    <row r="257" spans="1:27" s="303" customFormat="1" ht="18.75" hidden="1">
      <c r="A257" s="305"/>
      <c r="B257" s="306"/>
      <c r="C257" s="781"/>
      <c r="D257" s="781"/>
      <c r="E257" s="781"/>
      <c r="F257" s="781"/>
      <c r="G257" s="307"/>
      <c r="H257" s="307"/>
      <c r="I257" s="307"/>
      <c r="J257" s="307"/>
      <c r="T257" s="782" t="s">
        <v>420</v>
      </c>
      <c r="U257" s="782"/>
      <c r="V257" s="782"/>
      <c r="W257" s="782"/>
      <c r="X257" s="782"/>
      <c r="Y257" s="782"/>
      <c r="Z257" s="782"/>
      <c r="AA257" s="782"/>
    </row>
    <row r="258" spans="1:27" s="303" customFormat="1" ht="18.75" hidden="1">
      <c r="A258" s="783" t="s">
        <v>421</v>
      </c>
      <c r="B258" s="783"/>
      <c r="C258" s="783"/>
      <c r="D258" s="783"/>
      <c r="E258" s="783"/>
      <c r="F258" s="783"/>
      <c r="G258" s="308"/>
      <c r="H258" s="308"/>
      <c r="I258" s="308"/>
      <c r="J258" s="783" t="s">
        <v>422</v>
      </c>
      <c r="K258" s="783"/>
      <c r="L258" s="783"/>
      <c r="M258" s="783"/>
      <c r="N258" s="783"/>
      <c r="O258" s="783"/>
      <c r="T258" s="783" t="s">
        <v>423</v>
      </c>
      <c r="U258" s="783"/>
      <c r="V258" s="783"/>
      <c r="W258" s="783"/>
      <c r="X258" s="783"/>
      <c r="Y258" s="783"/>
      <c r="Z258" s="783"/>
      <c r="AA258" s="783"/>
    </row>
    <row r="259" spans="1:27" s="303" customFormat="1" ht="18.75" hidden="1">
      <c r="A259" s="309"/>
      <c r="B259" s="309"/>
      <c r="C259" s="309"/>
      <c r="D259" s="309"/>
      <c r="E259" s="774"/>
      <c r="F259" s="774"/>
      <c r="G259" s="309"/>
      <c r="H259" s="309"/>
      <c r="I259" s="309"/>
      <c r="J259" s="309"/>
      <c r="T259" s="775" t="s">
        <v>424</v>
      </c>
      <c r="U259" s="775"/>
      <c r="V259" s="775"/>
      <c r="W259" s="775"/>
      <c r="X259" s="775"/>
      <c r="Y259" s="775"/>
      <c r="Z259" s="775"/>
      <c r="AA259" s="775"/>
    </row>
    <row r="260" spans="1:22" s="303" customFormat="1" ht="15.75" hidden="1">
      <c r="A260" s="299"/>
      <c r="B260" s="300"/>
      <c r="C260" s="302"/>
      <c r="D260" s="302"/>
      <c r="E260" s="302"/>
      <c r="F260" s="302"/>
      <c r="G260" s="302"/>
      <c r="H260" s="302"/>
      <c r="I260" s="302"/>
      <c r="J260" s="302"/>
      <c r="K260" s="302"/>
      <c r="L260" s="302"/>
      <c r="M260" s="302"/>
      <c r="N260" s="302"/>
      <c r="O260" s="302"/>
      <c r="P260" s="302"/>
      <c r="Q260" s="302"/>
      <c r="R260" s="302"/>
      <c r="S260" s="302"/>
      <c r="V260" s="304"/>
    </row>
    <row r="261" spans="2:34" s="310" customFormat="1" ht="16.5" hidden="1">
      <c r="B261" s="776"/>
      <c r="C261" s="776"/>
      <c r="D261" s="776"/>
      <c r="E261" s="776"/>
      <c r="F261" s="776"/>
      <c r="G261" s="311"/>
      <c r="H261" s="312"/>
      <c r="I261" s="313"/>
      <c r="J261" s="311"/>
      <c r="K261" s="311"/>
      <c r="L261" s="311"/>
      <c r="M261" s="311"/>
      <c r="N261" s="311"/>
      <c r="O261" s="311"/>
      <c r="P261" s="311"/>
      <c r="Q261" s="311"/>
      <c r="R261" s="311"/>
      <c r="S261" s="314"/>
      <c r="T261" s="777"/>
      <c r="U261" s="777"/>
      <c r="V261" s="777"/>
      <c r="W261" s="777"/>
      <c r="X261" s="315"/>
      <c r="AA261" s="316"/>
      <c r="AB261" s="316"/>
      <c r="AC261" s="317"/>
      <c r="AG261" s="318"/>
      <c r="AH261" s="319"/>
    </row>
    <row r="262" spans="4:34" s="310" customFormat="1" ht="16.5">
      <c r="D262" s="320"/>
      <c r="E262" s="311"/>
      <c r="F262" s="321"/>
      <c r="G262" s="311"/>
      <c r="H262" s="312"/>
      <c r="I262" s="313"/>
      <c r="J262" s="311"/>
      <c r="K262" s="311"/>
      <c r="L262" s="311"/>
      <c r="M262" s="311"/>
      <c r="N262" s="311"/>
      <c r="O262" s="311"/>
      <c r="P262" s="311"/>
      <c r="Q262" s="311"/>
      <c r="R262" s="311"/>
      <c r="S262" s="311"/>
      <c r="T262" s="311"/>
      <c r="U262" s="311"/>
      <c r="V262" s="322"/>
      <c r="W262" s="311"/>
      <c r="X262" s="315"/>
      <c r="AA262" s="316"/>
      <c r="AB262" s="316"/>
      <c r="AC262" s="317"/>
      <c r="AG262" s="318"/>
      <c r="AH262" s="319"/>
    </row>
    <row r="263" spans="4:34" s="310" customFormat="1" ht="16.5" hidden="1">
      <c r="D263" s="320"/>
      <c r="E263" s="311"/>
      <c r="F263" s="321"/>
      <c r="G263" s="311"/>
      <c r="H263" s="312"/>
      <c r="I263" s="313"/>
      <c r="J263" s="311"/>
      <c r="K263" s="311"/>
      <c r="L263" s="311"/>
      <c r="M263" s="311"/>
      <c r="N263" s="311"/>
      <c r="O263" s="311"/>
      <c r="P263" s="311"/>
      <c r="Q263" s="311"/>
      <c r="R263" s="311"/>
      <c r="S263" s="311"/>
      <c r="T263" s="311"/>
      <c r="U263" s="311"/>
      <c r="V263" s="322"/>
      <c r="W263" s="311"/>
      <c r="X263" s="315"/>
      <c r="AA263" s="316"/>
      <c r="AB263" s="316"/>
      <c r="AC263" s="317"/>
      <c r="AG263" s="318"/>
      <c r="AH263" s="319"/>
    </row>
    <row r="264" ht="12.75" hidden="1"/>
    <row r="265" ht="12.75" hidden="1"/>
    <row r="266" spans="1:6" ht="18.75" hidden="1">
      <c r="A266" s="778" t="s">
        <v>425</v>
      </c>
      <c r="B266" s="778"/>
      <c r="C266" s="778"/>
      <c r="D266" s="778"/>
      <c r="E266" s="778"/>
      <c r="F266" s="778"/>
    </row>
    <row r="267" ht="12.75" hidden="1"/>
    <row r="268" ht="12.75" hidden="1"/>
    <row r="269" ht="12.75" hidden="1"/>
  </sheetData>
  <sheetProtection/>
  <mergeCells count="64">
    <mergeCell ref="A1:F1"/>
    <mergeCell ref="A2:G2"/>
    <mergeCell ref="I2:X2"/>
    <mergeCell ref="A5:X5"/>
    <mergeCell ref="A6:X6"/>
    <mergeCell ref="A8:A10"/>
    <mergeCell ref="B8:B10"/>
    <mergeCell ref="C8:C10"/>
    <mergeCell ref="D8:D10"/>
    <mergeCell ref="E8:E10"/>
    <mergeCell ref="F8:G9"/>
    <mergeCell ref="H8:H10"/>
    <mergeCell ref="I8:I10"/>
    <mergeCell ref="J8:O8"/>
    <mergeCell ref="P8:U8"/>
    <mergeCell ref="V8:V10"/>
    <mergeCell ref="W8:W10"/>
    <mergeCell ref="X8:X10"/>
    <mergeCell ref="J9:J10"/>
    <mergeCell ref="K9:M9"/>
    <mergeCell ref="N9:N10"/>
    <mergeCell ref="O9:O10"/>
    <mergeCell ref="P9:P10"/>
    <mergeCell ref="Q9:S9"/>
    <mergeCell ref="T9:T10"/>
    <mergeCell ref="U9:U10"/>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T257:AA257"/>
    <mergeCell ref="A258:F258"/>
    <mergeCell ref="J258:O258"/>
    <mergeCell ref="T258:AA258"/>
    <mergeCell ref="S11:S12"/>
    <mergeCell ref="T11:T12"/>
    <mergeCell ref="U11:U12"/>
    <mergeCell ref="V11:V12"/>
    <mergeCell ref="W11:W12"/>
    <mergeCell ref="X11:X12"/>
    <mergeCell ref="E259:F259"/>
    <mergeCell ref="T259:AA259"/>
    <mergeCell ref="B261:F261"/>
    <mergeCell ref="T261:W261"/>
    <mergeCell ref="A266:F266"/>
    <mergeCell ref="V1:Z1"/>
    <mergeCell ref="C256:D256"/>
    <mergeCell ref="I256:J256"/>
    <mergeCell ref="C257:D257"/>
    <mergeCell ref="E257:F257"/>
  </mergeCells>
  <printOptions/>
  <pageMargins left="0.25" right="0.25" top="0.7" bottom="0.7" header="0.3" footer="0.3"/>
  <pageSetup horizontalDpi="600" verticalDpi="600" orientation="landscape" paperSize="9" scale="46" r:id="rId1"/>
  <headerFooter>
    <oddFooter>&amp;CPage &amp;P</oddFooter>
  </headerFooter>
  <colBreaks count="1" manualBreakCount="1">
    <brk id="34" max="65535" man="1"/>
  </colBreaks>
</worksheet>
</file>

<file path=xl/worksheets/sheet17.xml><?xml version="1.0" encoding="utf-8"?>
<worksheet xmlns="http://schemas.openxmlformats.org/spreadsheetml/2006/main" xmlns:r="http://schemas.openxmlformats.org/officeDocument/2006/relationships">
  <sheetPr>
    <tabColor rgb="FF00B0F0"/>
  </sheetPr>
  <dimension ref="A1:R23"/>
  <sheetViews>
    <sheetView workbookViewId="0" topLeftCell="A13">
      <selection activeCell="A8" sqref="A8:L8"/>
    </sheetView>
  </sheetViews>
  <sheetFormatPr defaultColWidth="7" defaultRowHeight="15"/>
  <cols>
    <col min="1" max="1" width="4.8984375" style="53" customWidth="1"/>
    <col min="2" max="2" width="9.69921875" style="53" customWidth="1"/>
    <col min="3" max="3" width="9.59765625" style="53" customWidth="1"/>
    <col min="4" max="4" width="7.8984375" style="53" customWidth="1"/>
    <col min="5" max="11" width="9.59765625" style="53" customWidth="1"/>
    <col min="12" max="12" width="9.69921875" style="53" customWidth="1"/>
    <col min="13" max="16384" width="7" style="53" customWidth="1"/>
  </cols>
  <sheetData>
    <row r="1" spans="1:18" ht="16.5" customHeight="1">
      <c r="A1" s="832" t="s">
        <v>794</v>
      </c>
      <c r="B1" s="832"/>
      <c r="C1" s="832"/>
      <c r="D1" s="832"/>
      <c r="E1" s="835"/>
      <c r="F1" s="832" t="s">
        <v>809</v>
      </c>
      <c r="G1" s="832"/>
      <c r="H1" s="832"/>
      <c r="I1" s="832"/>
      <c r="J1" s="832"/>
      <c r="K1" s="832"/>
      <c r="L1" s="832"/>
      <c r="M1" s="835"/>
      <c r="N1" s="835"/>
      <c r="O1" s="835"/>
      <c r="P1" s="835"/>
      <c r="Q1" s="835"/>
      <c r="R1" s="835"/>
    </row>
    <row r="2" spans="1:18" ht="16.5">
      <c r="A2" s="833" t="s">
        <v>260</v>
      </c>
      <c r="B2" s="833"/>
      <c r="C2" s="833"/>
      <c r="D2" s="833"/>
      <c r="E2" s="836"/>
      <c r="F2" s="834" t="s">
        <v>810</v>
      </c>
      <c r="G2" s="834"/>
      <c r="H2" s="834"/>
      <c r="I2" s="834"/>
      <c r="J2" s="834"/>
      <c r="K2" s="834"/>
      <c r="L2" s="834"/>
      <c r="M2" s="836"/>
      <c r="N2" s="836"/>
      <c r="O2" s="836"/>
      <c r="P2" s="836"/>
      <c r="Q2" s="836"/>
      <c r="R2" s="836"/>
    </row>
    <row r="3" spans="1:18" ht="15.75">
      <c r="A3" s="810" t="s">
        <v>811</v>
      </c>
      <c r="B3" s="810"/>
      <c r="C3" s="810"/>
      <c r="D3" s="810"/>
      <c r="E3" s="831"/>
      <c r="F3" s="821" t="s">
        <v>802</v>
      </c>
      <c r="G3" s="821"/>
      <c r="H3" s="821"/>
      <c r="I3" s="821"/>
      <c r="J3" s="821"/>
      <c r="K3" s="821"/>
      <c r="L3" s="821"/>
      <c r="M3" s="831"/>
      <c r="N3" s="831"/>
      <c r="O3" s="831"/>
      <c r="P3" s="831"/>
      <c r="Q3" s="831"/>
      <c r="R3" s="831"/>
    </row>
    <row r="4" spans="1:18" ht="15.75">
      <c r="A4" s="818"/>
      <c r="B4" s="692"/>
      <c r="C4" s="823"/>
      <c r="D4" s="824"/>
      <c r="E4" s="824"/>
      <c r="F4" s="824"/>
      <c r="G4" s="824"/>
      <c r="H4" s="824"/>
      <c r="I4" s="126"/>
      <c r="J4" s="126"/>
      <c r="K4" s="126"/>
      <c r="L4" s="2"/>
      <c r="M4" s="2"/>
      <c r="N4" s="2"/>
      <c r="O4" s="477"/>
      <c r="P4" s="477"/>
      <c r="Q4" s="477"/>
      <c r="R4" s="477"/>
    </row>
    <row r="5" spans="1:18" ht="18.75">
      <c r="A5" s="825" t="s">
        <v>835</v>
      </c>
      <c r="B5" s="825"/>
      <c r="C5" s="825"/>
      <c r="D5" s="825"/>
      <c r="E5" s="825"/>
      <c r="F5" s="825"/>
      <c r="G5" s="825"/>
      <c r="H5" s="825"/>
      <c r="I5" s="825"/>
      <c r="J5" s="825"/>
      <c r="K5" s="825"/>
      <c r="L5" s="825"/>
      <c r="M5" s="845"/>
      <c r="N5" s="845"/>
      <c r="O5" s="845"/>
      <c r="P5" s="845"/>
      <c r="Q5" s="845"/>
      <c r="R5" s="845"/>
    </row>
    <row r="6" spans="1:12" s="54" customFormat="1" ht="18.75">
      <c r="A6" s="869" t="s">
        <v>139</v>
      </c>
      <c r="B6" s="869"/>
      <c r="C6" s="869"/>
      <c r="D6" s="869"/>
      <c r="E6" s="869"/>
      <c r="F6" s="869"/>
      <c r="G6" s="869"/>
      <c r="H6" s="869"/>
      <c r="I6" s="869"/>
      <c r="J6" s="869"/>
      <c r="K6" s="869"/>
      <c r="L6" s="869"/>
    </row>
    <row r="7" spans="1:12" s="54" customFormat="1" ht="18.75">
      <c r="A7" s="869" t="s">
        <v>471</v>
      </c>
      <c r="B7" s="869"/>
      <c r="C7" s="869"/>
      <c r="D7" s="869"/>
      <c r="E7" s="869"/>
      <c r="F7" s="869"/>
      <c r="G7" s="869"/>
      <c r="H7" s="869"/>
      <c r="I7" s="869"/>
      <c r="J7" s="869"/>
      <c r="K7" s="869"/>
      <c r="L7" s="869"/>
    </row>
    <row r="8" spans="1:12" s="54" customFormat="1" ht="18" customHeight="1">
      <c r="A8" s="870" t="s">
        <v>800</v>
      </c>
      <c r="B8" s="870"/>
      <c r="C8" s="870"/>
      <c r="D8" s="870"/>
      <c r="E8" s="870"/>
      <c r="F8" s="870"/>
      <c r="G8" s="870"/>
      <c r="H8" s="870"/>
      <c r="I8" s="870"/>
      <c r="J8" s="870"/>
      <c r="K8" s="870"/>
      <c r="L8" s="870"/>
    </row>
    <row r="9" spans="1:12" s="54" customFormat="1" ht="15.75">
      <c r="A9" s="868" t="s">
        <v>813</v>
      </c>
      <c r="B9" s="867"/>
      <c r="C9" s="867"/>
      <c r="D9" s="867"/>
      <c r="E9" s="867"/>
      <c r="F9" s="867"/>
      <c r="G9" s="867"/>
      <c r="H9" s="867"/>
      <c r="I9" s="867"/>
      <c r="J9" s="867"/>
      <c r="K9" s="867"/>
      <c r="L9" s="867"/>
    </row>
    <row r="10" spans="1:12" s="54" customFormat="1" ht="15.75">
      <c r="A10" s="56"/>
      <c r="B10" s="56"/>
      <c r="C10" s="26"/>
      <c r="D10" s="56"/>
      <c r="G10" s="26"/>
      <c r="H10" s="26"/>
      <c r="L10" s="26"/>
    </row>
    <row r="11" spans="12:14" ht="19.5" customHeight="1">
      <c r="L11" s="120" t="s">
        <v>0</v>
      </c>
      <c r="M11" s="57"/>
      <c r="N11" s="57"/>
    </row>
    <row r="12" spans="1:12" s="58" customFormat="1" ht="27" customHeight="1">
      <c r="A12" s="802" t="s">
        <v>132</v>
      </c>
      <c r="B12" s="800" t="s">
        <v>140</v>
      </c>
      <c r="C12" s="801" t="s">
        <v>454</v>
      </c>
      <c r="D12" s="802" t="s">
        <v>468</v>
      </c>
      <c r="E12" s="802"/>
      <c r="F12" s="802"/>
      <c r="G12" s="802"/>
      <c r="H12" s="802" t="s">
        <v>469</v>
      </c>
      <c r="I12" s="802"/>
      <c r="J12" s="802"/>
      <c r="K12" s="802"/>
      <c r="L12" s="802" t="s">
        <v>472</v>
      </c>
    </row>
    <row r="13" spans="1:12" s="58" customFormat="1" ht="45.75" customHeight="1">
      <c r="A13" s="802"/>
      <c r="B13" s="800"/>
      <c r="C13" s="801"/>
      <c r="D13" s="801" t="s">
        <v>141</v>
      </c>
      <c r="E13" s="801"/>
      <c r="F13" s="801" t="s">
        <v>142</v>
      </c>
      <c r="G13" s="801" t="s">
        <v>143</v>
      </c>
      <c r="H13" s="801" t="s">
        <v>141</v>
      </c>
      <c r="I13" s="801"/>
      <c r="J13" s="801" t="s">
        <v>142</v>
      </c>
      <c r="K13" s="801" t="s">
        <v>143</v>
      </c>
      <c r="L13" s="802"/>
    </row>
    <row r="14" spans="1:12" s="58" customFormat="1" ht="42.75" customHeight="1">
      <c r="A14" s="802"/>
      <c r="B14" s="800"/>
      <c r="C14" s="801"/>
      <c r="D14" s="801" t="s">
        <v>63</v>
      </c>
      <c r="E14" s="801" t="s">
        <v>181</v>
      </c>
      <c r="F14" s="801"/>
      <c r="G14" s="801"/>
      <c r="H14" s="801" t="s">
        <v>63</v>
      </c>
      <c r="I14" s="801" t="s">
        <v>181</v>
      </c>
      <c r="J14" s="801"/>
      <c r="K14" s="801"/>
      <c r="L14" s="802"/>
    </row>
    <row r="15" spans="1:12" s="56" customFormat="1" ht="40.5" customHeight="1">
      <c r="A15" s="802"/>
      <c r="B15" s="800"/>
      <c r="C15" s="801"/>
      <c r="D15" s="801"/>
      <c r="E15" s="801"/>
      <c r="F15" s="801"/>
      <c r="G15" s="801"/>
      <c r="H15" s="801"/>
      <c r="I15" s="801"/>
      <c r="J15" s="801"/>
      <c r="K15" s="801"/>
      <c r="L15" s="802"/>
    </row>
    <row r="16" spans="1:12" s="58" customFormat="1" ht="18" customHeight="1">
      <c r="A16" s="60" t="s">
        <v>5</v>
      </c>
      <c r="B16" s="60" t="s">
        <v>6</v>
      </c>
      <c r="C16" s="59">
        <v>1</v>
      </c>
      <c r="D16" s="59">
        <f>C16+1</f>
        <v>2</v>
      </c>
      <c r="E16" s="59">
        <f>D16+1</f>
        <v>3</v>
      </c>
      <c r="F16" s="59">
        <f>E16+1</f>
        <v>4</v>
      </c>
      <c r="G16" s="59" t="s">
        <v>144</v>
      </c>
      <c r="H16" s="59">
        <v>6</v>
      </c>
      <c r="I16" s="59">
        <f>H16+1</f>
        <v>7</v>
      </c>
      <c r="J16" s="59">
        <f>I16+1</f>
        <v>8</v>
      </c>
      <c r="K16" s="59" t="s">
        <v>145</v>
      </c>
      <c r="L16" s="60" t="s">
        <v>146</v>
      </c>
    </row>
    <row r="17" spans="1:12" s="25" customFormat="1" ht="15.75">
      <c r="A17" s="105">
        <v>1</v>
      </c>
      <c r="B17" s="800" t="s">
        <v>443</v>
      </c>
      <c r="C17" s="800"/>
      <c r="D17" s="800"/>
      <c r="E17" s="800"/>
      <c r="F17" s="800"/>
      <c r="G17" s="800"/>
      <c r="H17" s="800"/>
      <c r="I17" s="800"/>
      <c r="J17" s="800"/>
      <c r="K17" s="800"/>
      <c r="L17" s="800"/>
    </row>
    <row r="18" spans="1:12" s="25" customFormat="1" ht="15.75">
      <c r="A18" s="105">
        <v>2</v>
      </c>
      <c r="B18" s="800"/>
      <c r="C18" s="800"/>
      <c r="D18" s="800"/>
      <c r="E18" s="800"/>
      <c r="F18" s="800"/>
      <c r="G18" s="800"/>
      <c r="H18" s="800"/>
      <c r="I18" s="800"/>
      <c r="J18" s="800"/>
      <c r="K18" s="800"/>
      <c r="L18" s="800"/>
    </row>
    <row r="19" spans="1:12" s="25" customFormat="1" ht="14.25" customHeight="1">
      <c r="A19" s="105">
        <v>3</v>
      </c>
      <c r="B19" s="800"/>
      <c r="C19" s="800"/>
      <c r="D19" s="800"/>
      <c r="E19" s="800"/>
      <c r="F19" s="800"/>
      <c r="G19" s="800"/>
      <c r="H19" s="800"/>
      <c r="I19" s="800"/>
      <c r="J19" s="800"/>
      <c r="K19" s="800"/>
      <c r="L19" s="800"/>
    </row>
    <row r="20" spans="1:12" s="25" customFormat="1" ht="15.75">
      <c r="A20" s="105">
        <v>4</v>
      </c>
      <c r="B20" s="800"/>
      <c r="C20" s="800"/>
      <c r="D20" s="800"/>
      <c r="E20" s="800"/>
      <c r="F20" s="800"/>
      <c r="G20" s="800"/>
      <c r="H20" s="800"/>
      <c r="I20" s="800"/>
      <c r="J20" s="800"/>
      <c r="K20" s="800"/>
      <c r="L20" s="800"/>
    </row>
    <row r="21" spans="1:12" s="25" customFormat="1" ht="15" customHeight="1">
      <c r="A21" s="105">
        <v>5</v>
      </c>
      <c r="B21" s="800"/>
      <c r="C21" s="800"/>
      <c r="D21" s="800"/>
      <c r="E21" s="800"/>
      <c r="F21" s="800"/>
      <c r="G21" s="800"/>
      <c r="H21" s="800"/>
      <c r="I21" s="800"/>
      <c r="J21" s="800"/>
      <c r="K21" s="800"/>
      <c r="L21" s="800"/>
    </row>
    <row r="22" spans="1:12" s="25" customFormat="1" ht="15.75">
      <c r="A22" s="105">
        <v>6</v>
      </c>
      <c r="B22" s="800"/>
      <c r="C22" s="800"/>
      <c r="D22" s="800"/>
      <c r="E22" s="800"/>
      <c r="F22" s="800"/>
      <c r="G22" s="800"/>
      <c r="H22" s="800"/>
      <c r="I22" s="800"/>
      <c r="J22" s="800"/>
      <c r="K22" s="800"/>
      <c r="L22" s="800"/>
    </row>
    <row r="23" spans="1:12" s="25" customFormat="1" ht="15.75">
      <c r="A23" s="105">
        <v>7</v>
      </c>
      <c r="B23" s="800"/>
      <c r="C23" s="800"/>
      <c r="D23" s="800"/>
      <c r="E23" s="800"/>
      <c r="F23" s="800"/>
      <c r="G23" s="800"/>
      <c r="H23" s="800"/>
      <c r="I23" s="800"/>
      <c r="J23" s="800"/>
      <c r="K23" s="800"/>
      <c r="L23" s="800"/>
    </row>
  </sheetData>
  <sheetProtection/>
  <mergeCells count="28">
    <mergeCell ref="A1:D1"/>
    <mergeCell ref="A5:L5"/>
    <mergeCell ref="A9:L9"/>
    <mergeCell ref="F1:L1"/>
    <mergeCell ref="F2:L2"/>
    <mergeCell ref="F3:L3"/>
    <mergeCell ref="A3:D3"/>
    <mergeCell ref="A2:D2"/>
    <mergeCell ref="D12:G12"/>
    <mergeCell ref="H12:K12"/>
    <mergeCell ref="B12:B15"/>
    <mergeCell ref="K13:K15"/>
    <mergeCell ref="D14:D15"/>
    <mergeCell ref="C12:C15"/>
    <mergeCell ref="A6:L6"/>
    <mergeCell ref="A7:L7"/>
    <mergeCell ref="A8:L8"/>
    <mergeCell ref="A12:A15"/>
    <mergeCell ref="L12:L15"/>
    <mergeCell ref="E14:E15"/>
    <mergeCell ref="H14:H15"/>
    <mergeCell ref="J13:J15"/>
    <mergeCell ref="B17:L23"/>
    <mergeCell ref="I14:I15"/>
    <mergeCell ref="D13:E13"/>
    <mergeCell ref="F13:F15"/>
    <mergeCell ref="G13:G15"/>
    <mergeCell ref="H13:I13"/>
  </mergeCells>
  <printOptions horizontalCentered="1"/>
  <pageMargins left="0.8267716535433072" right="0.2755905511811024" top="0.6299212598425197" bottom="0.1968503937007874" header="0.5118110236220472" footer="0.15748031496062992"/>
  <pageSetup horizontalDpi="600" verticalDpi="600" orientation="portrait" paperSize="9" scale="75" r:id="rId1"/>
</worksheet>
</file>

<file path=xl/worksheets/sheet18.xml><?xml version="1.0" encoding="utf-8"?>
<worksheet xmlns="http://schemas.openxmlformats.org/spreadsheetml/2006/main" xmlns:r="http://schemas.openxmlformats.org/officeDocument/2006/relationships">
  <sheetPr>
    <tabColor rgb="FF00B0F0"/>
  </sheetPr>
  <dimension ref="A1:L91"/>
  <sheetViews>
    <sheetView workbookViewId="0" topLeftCell="A1">
      <selection activeCell="A5" sqref="A5:E5"/>
    </sheetView>
  </sheetViews>
  <sheetFormatPr defaultColWidth="8.796875" defaultRowHeight="15"/>
  <cols>
    <col min="1" max="1" width="4.8984375" style="63" customWidth="1"/>
    <col min="2" max="2" width="34.09765625" style="63" customWidth="1"/>
    <col min="3" max="3" width="16.59765625" style="63" customWidth="1"/>
    <col min="4" max="4" width="15.5" style="63" customWidth="1"/>
    <col min="5" max="5" width="13.59765625" style="63" customWidth="1"/>
    <col min="6" max="16384" width="9" style="63" customWidth="1"/>
  </cols>
  <sheetData>
    <row r="1" spans="1:12" s="28" customFormat="1" ht="16.5" customHeight="1">
      <c r="A1" s="832" t="s">
        <v>794</v>
      </c>
      <c r="B1" s="832"/>
      <c r="C1" s="832" t="s">
        <v>809</v>
      </c>
      <c r="D1" s="832"/>
      <c r="E1" s="832"/>
      <c r="F1" s="835"/>
      <c r="G1" s="835"/>
      <c r="H1" s="835"/>
      <c r="I1" s="835"/>
      <c r="J1" s="835"/>
      <c r="K1" s="835"/>
      <c r="L1" s="835"/>
    </row>
    <row r="2" spans="1:12" s="28" customFormat="1" ht="16.5">
      <c r="A2" s="833" t="s">
        <v>260</v>
      </c>
      <c r="B2" s="833"/>
      <c r="C2" s="834" t="s">
        <v>810</v>
      </c>
      <c r="D2" s="834"/>
      <c r="E2" s="834"/>
      <c r="F2" s="836"/>
      <c r="G2" s="836"/>
      <c r="H2" s="836"/>
      <c r="I2" s="836"/>
      <c r="J2" s="836"/>
      <c r="K2" s="836"/>
      <c r="L2" s="836"/>
    </row>
    <row r="3" spans="1:12" s="28" customFormat="1" ht="15.75">
      <c r="A3" s="810" t="s">
        <v>811</v>
      </c>
      <c r="B3" s="810"/>
      <c r="C3" s="821" t="s">
        <v>802</v>
      </c>
      <c r="D3" s="821"/>
      <c r="E3" s="821"/>
      <c r="F3" s="831"/>
      <c r="G3" s="831"/>
      <c r="H3" s="831"/>
      <c r="I3" s="831"/>
      <c r="J3" s="831"/>
      <c r="K3" s="831"/>
      <c r="L3" s="831"/>
    </row>
    <row r="4" spans="1:12" s="28" customFormat="1" ht="15.75">
      <c r="A4" s="818"/>
      <c r="B4" s="692"/>
      <c r="C4" s="823"/>
      <c r="D4" s="824"/>
      <c r="E4" s="824"/>
      <c r="F4" s="824"/>
      <c r="G4" s="824"/>
      <c r="H4" s="824"/>
      <c r="I4" s="126"/>
      <c r="J4" s="126"/>
      <c r="K4" s="126"/>
      <c r="L4" s="2"/>
    </row>
    <row r="5" spans="1:12" s="28" customFormat="1" ht="18.75">
      <c r="A5" s="825" t="s">
        <v>836</v>
      </c>
      <c r="B5" s="825"/>
      <c r="C5" s="825"/>
      <c r="D5" s="825"/>
      <c r="E5" s="825"/>
      <c r="F5" s="845"/>
      <c r="G5" s="845"/>
      <c r="H5" s="845"/>
      <c r="I5" s="845"/>
      <c r="J5" s="845"/>
      <c r="K5" s="845"/>
      <c r="L5" s="845"/>
    </row>
    <row r="6" spans="1:10" ht="18.75">
      <c r="A6" s="871" t="s">
        <v>470</v>
      </c>
      <c r="B6" s="871"/>
      <c r="C6" s="871"/>
      <c r="D6" s="871"/>
      <c r="E6" s="871"/>
      <c r="F6" s="29"/>
      <c r="G6" s="29"/>
      <c r="H6" s="29"/>
      <c r="I6" s="29"/>
      <c r="J6" s="29"/>
    </row>
    <row r="7" spans="1:10" ht="18.75">
      <c r="A7" s="871" t="s">
        <v>147</v>
      </c>
      <c r="B7" s="871"/>
      <c r="C7" s="871"/>
      <c r="D7" s="871"/>
      <c r="E7" s="871"/>
      <c r="F7" s="29"/>
      <c r="G7" s="29"/>
      <c r="H7" s="29"/>
      <c r="I7" s="29"/>
      <c r="J7" s="29"/>
    </row>
    <row r="8" spans="1:10" ht="18.75" customHeight="1">
      <c r="A8" s="870" t="s">
        <v>800</v>
      </c>
      <c r="B8" s="870"/>
      <c r="C8" s="870"/>
      <c r="D8" s="870"/>
      <c r="E8" s="870"/>
      <c r="F8" s="39"/>
      <c r="G8" s="39"/>
      <c r="H8" s="39"/>
      <c r="I8" s="39"/>
      <c r="J8" s="39"/>
    </row>
    <row r="9" spans="1:10" ht="18.75" customHeight="1">
      <c r="A9" s="846" t="s">
        <v>837</v>
      </c>
      <c r="B9" s="709"/>
      <c r="C9" s="709"/>
      <c r="D9" s="709"/>
      <c r="E9" s="709"/>
      <c r="F9" s="39"/>
      <c r="G9" s="39"/>
      <c r="H9" s="39"/>
      <c r="I9" s="39"/>
      <c r="J9" s="39"/>
    </row>
    <row r="10" spans="1:10" ht="18.75" customHeight="1">
      <c r="A10" s="55"/>
      <c r="B10" s="55"/>
      <c r="C10" s="55"/>
      <c r="D10" s="55"/>
      <c r="E10" s="55"/>
      <c r="F10" s="39"/>
      <c r="G10" s="39"/>
      <c r="H10" s="39"/>
      <c r="I10" s="39"/>
      <c r="J10" s="39"/>
    </row>
    <row r="11" spans="1:10" ht="18.75" customHeight="1">
      <c r="A11" s="29"/>
      <c r="B11" s="29"/>
      <c r="C11" s="29"/>
      <c r="D11" s="144"/>
      <c r="E11" s="144" t="s">
        <v>0</v>
      </c>
      <c r="F11" s="29"/>
      <c r="G11" s="29"/>
      <c r="H11" s="29"/>
      <c r="I11" s="29"/>
      <c r="J11" s="29"/>
    </row>
    <row r="12" spans="1:5" s="70" customFormat="1" ht="42.75" customHeight="1">
      <c r="A12" s="80" t="s">
        <v>132</v>
      </c>
      <c r="B12" s="80" t="s">
        <v>148</v>
      </c>
      <c r="C12" s="145" t="s">
        <v>468</v>
      </c>
      <c r="D12" s="80" t="s">
        <v>469</v>
      </c>
      <c r="E12" s="145" t="s">
        <v>4</v>
      </c>
    </row>
    <row r="13" spans="1:10" ht="26.25" customHeight="1" hidden="1">
      <c r="A13" s="121"/>
      <c r="B13" s="146"/>
      <c r="C13" s="804" t="s">
        <v>70</v>
      </c>
      <c r="D13" s="804" t="s">
        <v>70</v>
      </c>
      <c r="E13" s="147"/>
      <c r="F13" s="29"/>
      <c r="G13" s="29"/>
      <c r="H13" s="29"/>
      <c r="I13" s="29"/>
      <c r="J13" s="29"/>
    </row>
    <row r="14" spans="1:6" s="78" customFormat="1" ht="54" customHeight="1" hidden="1">
      <c r="A14" s="121"/>
      <c r="B14" s="146"/>
      <c r="C14" s="804"/>
      <c r="D14" s="804"/>
      <c r="E14" s="147"/>
      <c r="F14" s="77"/>
    </row>
    <row r="15" spans="1:6" s="78" customFormat="1" ht="17.25" customHeight="1">
      <c r="A15" s="80" t="s">
        <v>5</v>
      </c>
      <c r="B15" s="80" t="s">
        <v>6</v>
      </c>
      <c r="C15" s="80">
        <v>1</v>
      </c>
      <c r="D15" s="80">
        <v>2</v>
      </c>
      <c r="E15" s="148" t="s">
        <v>149</v>
      </c>
      <c r="F15" s="77"/>
    </row>
    <row r="16" spans="1:5" s="28" customFormat="1" ht="15.75">
      <c r="A16" s="96"/>
      <c r="B16" s="97" t="s">
        <v>70</v>
      </c>
      <c r="C16" s="344">
        <f>C17+C23+C24+C25+C26</f>
        <v>6394.968</v>
      </c>
      <c r="D16" s="344">
        <f>D17+D23+D24+D25+D26</f>
        <v>5695.321875</v>
      </c>
      <c r="E16" s="346">
        <f>D16/C16*100</f>
        <v>89.05942727156727</v>
      </c>
    </row>
    <row r="17" spans="1:5" s="28" customFormat="1" ht="17.25" customHeight="1">
      <c r="A17" s="98">
        <v>1</v>
      </c>
      <c r="B17" s="99" t="s">
        <v>150</v>
      </c>
      <c r="C17" s="345">
        <f>C18+C22</f>
        <v>5597.968</v>
      </c>
      <c r="D17" s="345">
        <f>D18+D22</f>
        <v>4668.355874999999</v>
      </c>
      <c r="E17" s="335">
        <f>D17/C17*100</f>
        <v>83.3937577885404</v>
      </c>
    </row>
    <row r="18" spans="1:5" s="29" customFormat="1" ht="17.25" customHeight="1">
      <c r="A18" s="336" t="s">
        <v>18</v>
      </c>
      <c r="B18" s="99" t="s">
        <v>151</v>
      </c>
      <c r="C18" s="335">
        <f>C20+C21</f>
        <v>5597.968</v>
      </c>
      <c r="D18" s="335">
        <f>D20+D21</f>
        <v>4668.355874999999</v>
      </c>
      <c r="E18" s="335">
        <f>D18/C18*100</f>
        <v>83.3937577885404</v>
      </c>
    </row>
    <row r="19" spans="1:5" s="343" customFormat="1" ht="17.25" customHeight="1">
      <c r="A19" s="339"/>
      <c r="B19" s="340" t="s">
        <v>27</v>
      </c>
      <c r="C19" s="341"/>
      <c r="D19" s="342"/>
      <c r="E19" s="335"/>
    </row>
    <row r="20" spans="1:5" s="338" customFormat="1" ht="17.25" customHeight="1">
      <c r="A20" s="100" t="s">
        <v>452</v>
      </c>
      <c r="B20" s="101" t="s">
        <v>451</v>
      </c>
      <c r="C20" s="337">
        <f>4302098000/1000000</f>
        <v>4302.098</v>
      </c>
      <c r="D20" s="347">
        <f>3324235500/1000000</f>
        <v>3324.2355</v>
      </c>
      <c r="E20" s="337">
        <f>D20/C20*100</f>
        <v>77.27010170386635</v>
      </c>
    </row>
    <row r="21" spans="1:5" s="338" customFormat="1" ht="17.25" customHeight="1">
      <c r="A21" s="100" t="s">
        <v>452</v>
      </c>
      <c r="B21" s="101" t="s">
        <v>453</v>
      </c>
      <c r="C21" s="337">
        <f>1295870000/1000000</f>
        <v>1295.87</v>
      </c>
      <c r="D21" s="347">
        <f>1344120375/1000000</f>
        <v>1344.120375</v>
      </c>
      <c r="E21" s="337">
        <f>D21/C21*100</f>
        <v>103.72339625116717</v>
      </c>
    </row>
    <row r="22" spans="1:5" s="29" customFormat="1" ht="17.25" customHeight="1">
      <c r="A22" s="336" t="s">
        <v>18</v>
      </c>
      <c r="B22" s="99" t="s">
        <v>152</v>
      </c>
      <c r="C22" s="104"/>
      <c r="D22" s="104"/>
      <c r="E22" s="335"/>
    </row>
    <row r="23" spans="1:5" s="82" customFormat="1" ht="17.25" customHeight="1">
      <c r="A23" s="98">
        <f>A17+1</f>
        <v>2</v>
      </c>
      <c r="B23" s="99" t="s">
        <v>153</v>
      </c>
      <c r="C23" s="102"/>
      <c r="D23" s="102"/>
      <c r="E23" s="335"/>
    </row>
    <row r="24" spans="1:5" s="83" customFormat="1" ht="17.25" customHeight="1">
      <c r="A24" s="98">
        <f>A23+1</f>
        <v>3</v>
      </c>
      <c r="B24" s="99" t="s">
        <v>154</v>
      </c>
      <c r="C24" s="103"/>
      <c r="D24" s="103"/>
      <c r="E24" s="335"/>
    </row>
    <row r="25" spans="1:5" s="338" customFormat="1" ht="17.25" customHeight="1">
      <c r="A25" s="98">
        <f>A24+1</f>
        <v>4</v>
      </c>
      <c r="B25" s="99" t="s">
        <v>155</v>
      </c>
      <c r="C25" s="335">
        <v>637</v>
      </c>
      <c r="D25" s="335">
        <f>930056/1000</f>
        <v>930.056</v>
      </c>
      <c r="E25" s="335">
        <f>D25/C25*100</f>
        <v>146.00565149136577</v>
      </c>
    </row>
    <row r="26" spans="1:5" s="338" customFormat="1" ht="17.25" customHeight="1">
      <c r="A26" s="98">
        <f>A25+1</f>
        <v>5</v>
      </c>
      <c r="B26" s="99" t="s">
        <v>156</v>
      </c>
      <c r="C26" s="104">
        <v>160</v>
      </c>
      <c r="D26" s="499">
        <f>96910/1000</f>
        <v>96.91</v>
      </c>
      <c r="E26" s="335">
        <f>D26/C26*100</f>
        <v>60.568749999999994</v>
      </c>
    </row>
    <row r="27" spans="1:5" ht="15.75">
      <c r="A27" s="149"/>
      <c r="B27" s="149"/>
      <c r="C27" s="104"/>
      <c r="D27" s="104"/>
      <c r="E27" s="104"/>
    </row>
    <row r="29" s="30" customFormat="1" ht="28.5" customHeight="1"/>
    <row r="30" ht="15.75" hidden="1">
      <c r="B30" s="31" t="s">
        <v>157</v>
      </c>
    </row>
    <row r="31" ht="15.75" hidden="1">
      <c r="B31" s="31" t="s">
        <v>158</v>
      </c>
    </row>
    <row r="32" ht="15.75">
      <c r="B32" s="29"/>
    </row>
    <row r="33" ht="15.75">
      <c r="B33" s="29"/>
    </row>
    <row r="55" spans="1:5" ht="15.75" hidden="1">
      <c r="A55" s="27"/>
      <c r="B55" s="28"/>
      <c r="C55" s="28"/>
      <c r="D55" s="61"/>
      <c r="E55" s="62" t="s">
        <v>159</v>
      </c>
    </row>
    <row r="56" spans="1:5" ht="15.75" hidden="1">
      <c r="A56" s="27"/>
      <c r="B56" s="28"/>
      <c r="C56" s="28"/>
      <c r="D56" s="28"/>
      <c r="E56" s="61"/>
    </row>
    <row r="57" spans="1:5" ht="15.75" hidden="1">
      <c r="A57" s="803" t="s">
        <v>160</v>
      </c>
      <c r="B57" s="803"/>
      <c r="C57" s="803"/>
      <c r="D57" s="803"/>
      <c r="E57" s="803"/>
    </row>
    <row r="58" spans="1:5" ht="15.75" hidden="1">
      <c r="A58" s="803" t="s">
        <v>161</v>
      </c>
      <c r="B58" s="803"/>
      <c r="C58" s="803"/>
      <c r="D58" s="803"/>
      <c r="E58" s="803"/>
    </row>
    <row r="59" spans="1:5" ht="15.75" hidden="1">
      <c r="A59" s="709" t="s">
        <v>61</v>
      </c>
      <c r="B59" s="709"/>
      <c r="C59" s="709"/>
      <c r="D59" s="709"/>
      <c r="E59" s="709"/>
    </row>
    <row r="60" spans="1:5" ht="15.75" hidden="1">
      <c r="A60" s="55"/>
      <c r="B60" s="55"/>
      <c r="C60" s="55"/>
      <c r="D60" s="55"/>
      <c r="E60" s="55"/>
    </row>
    <row r="61" spans="1:5" ht="16.5" hidden="1" thickBot="1">
      <c r="A61" s="29"/>
      <c r="B61" s="29"/>
      <c r="C61" s="29"/>
      <c r="D61" s="64"/>
      <c r="E61" s="64" t="s">
        <v>0</v>
      </c>
    </row>
    <row r="62" spans="1:5" ht="47.25" hidden="1">
      <c r="A62" s="65" t="s">
        <v>132</v>
      </c>
      <c r="B62" s="66" t="s">
        <v>148</v>
      </c>
      <c r="C62" s="68" t="s">
        <v>162</v>
      </c>
      <c r="D62" s="67" t="s">
        <v>163</v>
      </c>
      <c r="E62" s="69" t="s">
        <v>4</v>
      </c>
    </row>
    <row r="63" spans="1:5" ht="15.75" hidden="1">
      <c r="A63" s="71"/>
      <c r="B63" s="72"/>
      <c r="C63" s="804" t="s">
        <v>70</v>
      </c>
      <c r="D63" s="804" t="s">
        <v>70</v>
      </c>
      <c r="E63" s="73"/>
    </row>
    <row r="64" spans="1:5" ht="15.75" hidden="1">
      <c r="A64" s="74"/>
      <c r="B64" s="75"/>
      <c r="C64" s="804"/>
      <c r="D64" s="804"/>
      <c r="E64" s="76"/>
    </row>
    <row r="65" spans="1:5" ht="15.75" hidden="1">
      <c r="A65" s="79" t="s">
        <v>5</v>
      </c>
      <c r="B65" s="80" t="s">
        <v>6</v>
      </c>
      <c r="C65" s="80">
        <v>1</v>
      </c>
      <c r="D65" s="80">
        <v>2</v>
      </c>
      <c r="E65" s="81" t="s">
        <v>149</v>
      </c>
    </row>
    <row r="66" spans="1:5" ht="15.75" hidden="1">
      <c r="A66" s="32"/>
      <c r="B66" s="84" t="s">
        <v>70</v>
      </c>
      <c r="C66" s="85"/>
      <c r="D66" s="85"/>
      <c r="E66" s="33"/>
    </row>
    <row r="67" spans="1:5" ht="15.75" hidden="1">
      <c r="A67" s="34"/>
      <c r="B67" s="86" t="s">
        <v>27</v>
      </c>
      <c r="C67" s="87"/>
      <c r="D67" s="87"/>
      <c r="E67" s="88"/>
    </row>
    <row r="68" spans="1:5" ht="15.75" hidden="1">
      <c r="A68" s="34"/>
      <c r="B68" s="89" t="s">
        <v>164</v>
      </c>
      <c r="C68" s="87"/>
      <c r="D68" s="87"/>
      <c r="E68" s="88"/>
    </row>
    <row r="69" spans="1:5" ht="15.75" hidden="1">
      <c r="A69" s="34"/>
      <c r="B69" s="89" t="s">
        <v>165</v>
      </c>
      <c r="C69" s="87"/>
      <c r="D69" s="87"/>
      <c r="E69" s="88"/>
    </row>
    <row r="70" spans="1:5" ht="15.75" hidden="1">
      <c r="A70" s="34"/>
      <c r="B70" s="89" t="s">
        <v>166</v>
      </c>
      <c r="C70" s="87"/>
      <c r="D70" s="87"/>
      <c r="E70" s="88"/>
    </row>
    <row r="71" spans="1:5" ht="15.75" hidden="1">
      <c r="A71" s="35">
        <v>1</v>
      </c>
      <c r="B71" s="90" t="s">
        <v>167</v>
      </c>
      <c r="C71" s="91"/>
      <c r="D71" s="91"/>
      <c r="E71" s="92"/>
    </row>
    <row r="72" spans="1:5" ht="15.75" hidden="1">
      <c r="A72" s="34"/>
      <c r="B72" s="86" t="s">
        <v>27</v>
      </c>
      <c r="C72" s="87"/>
      <c r="D72" s="87"/>
      <c r="E72" s="88"/>
    </row>
    <row r="73" spans="1:5" ht="15.75" hidden="1">
      <c r="A73" s="34"/>
      <c r="B73" s="89" t="s">
        <v>164</v>
      </c>
      <c r="C73" s="87"/>
      <c r="D73" s="87"/>
      <c r="E73" s="88"/>
    </row>
    <row r="74" spans="1:5" ht="15.75" hidden="1">
      <c r="A74" s="34"/>
      <c r="B74" s="89" t="s">
        <v>165</v>
      </c>
      <c r="C74" s="87"/>
      <c r="D74" s="87"/>
      <c r="E74" s="88"/>
    </row>
    <row r="75" spans="1:5" ht="15.75" hidden="1">
      <c r="A75" s="34"/>
      <c r="B75" s="89" t="s">
        <v>166</v>
      </c>
      <c r="C75" s="87"/>
      <c r="D75" s="87"/>
      <c r="E75" s="88"/>
    </row>
    <row r="76" spans="1:5" ht="15.75" hidden="1">
      <c r="A76" s="35">
        <v>2</v>
      </c>
      <c r="B76" s="90" t="s">
        <v>168</v>
      </c>
      <c r="C76" s="93"/>
      <c r="D76" s="93"/>
      <c r="E76" s="94"/>
    </row>
    <row r="77" spans="1:5" ht="15.75" hidden="1">
      <c r="A77" s="34"/>
      <c r="B77" s="86" t="s">
        <v>27</v>
      </c>
      <c r="C77" s="93"/>
      <c r="D77" s="93"/>
      <c r="E77" s="94"/>
    </row>
    <row r="78" spans="1:5" ht="15.75" hidden="1">
      <c r="A78" s="34"/>
      <c r="B78" s="89" t="s">
        <v>164</v>
      </c>
      <c r="C78" s="93"/>
      <c r="D78" s="93"/>
      <c r="E78" s="94"/>
    </row>
    <row r="79" spans="1:5" ht="15.75" hidden="1">
      <c r="A79" s="34"/>
      <c r="B79" s="89" t="s">
        <v>165</v>
      </c>
      <c r="C79" s="93"/>
      <c r="D79" s="93"/>
      <c r="E79" s="94"/>
    </row>
    <row r="80" spans="1:5" ht="15.75" hidden="1">
      <c r="A80" s="34"/>
      <c r="B80" s="89" t="s">
        <v>166</v>
      </c>
      <c r="C80" s="87"/>
      <c r="D80" s="87"/>
      <c r="E80" s="88"/>
    </row>
    <row r="81" spans="1:5" ht="15.75" hidden="1">
      <c r="A81" s="35">
        <v>3</v>
      </c>
      <c r="B81" s="90" t="s">
        <v>169</v>
      </c>
      <c r="C81" s="93"/>
      <c r="D81" s="93"/>
      <c r="E81" s="94"/>
    </row>
    <row r="82" spans="1:5" ht="15.75" hidden="1">
      <c r="A82" s="34"/>
      <c r="B82" s="86" t="s">
        <v>27</v>
      </c>
      <c r="C82" s="93"/>
      <c r="D82" s="93"/>
      <c r="E82" s="94"/>
    </row>
    <row r="83" spans="1:5" ht="15.75" hidden="1">
      <c r="A83" s="34"/>
      <c r="B83" s="89" t="s">
        <v>164</v>
      </c>
      <c r="C83" s="93"/>
      <c r="D83" s="93"/>
      <c r="E83" s="94"/>
    </row>
    <row r="84" spans="1:5" ht="15.75" hidden="1">
      <c r="A84" s="34"/>
      <c r="B84" s="89" t="s">
        <v>165</v>
      </c>
      <c r="C84" s="93"/>
      <c r="D84" s="93"/>
      <c r="E84" s="94"/>
    </row>
    <row r="85" spans="1:5" ht="15.75" hidden="1">
      <c r="A85" s="34"/>
      <c r="B85" s="89" t="s">
        <v>166</v>
      </c>
      <c r="C85" s="87"/>
      <c r="D85" s="87"/>
      <c r="E85" s="88"/>
    </row>
    <row r="86" spans="1:5" ht="16.5" hidden="1" thickBot="1">
      <c r="A86" s="36"/>
      <c r="B86" s="95"/>
      <c r="C86" s="37"/>
      <c r="D86" s="37"/>
      <c r="E86" s="38"/>
    </row>
    <row r="87" spans="1:5" ht="15.75" hidden="1">
      <c r="A87" s="29"/>
      <c r="B87" s="29"/>
      <c r="C87" s="29"/>
      <c r="D87" s="29"/>
      <c r="E87" s="29"/>
    </row>
    <row r="88" spans="1:5" ht="15.75" hidden="1">
      <c r="A88" s="29"/>
      <c r="B88" s="29"/>
      <c r="C88" s="29"/>
      <c r="D88" s="29"/>
      <c r="E88" s="29"/>
    </row>
    <row r="89" spans="1:5" ht="15.75" hidden="1">
      <c r="A89" s="29"/>
      <c r="B89" s="29"/>
      <c r="C89" s="29"/>
      <c r="D89" s="29"/>
      <c r="E89" s="29"/>
    </row>
    <row r="90" spans="1:5" ht="15.75" hidden="1">
      <c r="A90" s="29"/>
      <c r="B90" s="29"/>
      <c r="C90" s="29"/>
      <c r="D90" s="29"/>
      <c r="E90" s="29"/>
    </row>
    <row r="91" spans="1:5" ht="15.75" hidden="1">
      <c r="A91" s="29"/>
      <c r="B91" s="29"/>
      <c r="C91" s="29"/>
      <c r="D91" s="29"/>
      <c r="E91" s="29"/>
    </row>
  </sheetData>
  <sheetProtection/>
  <mergeCells count="18">
    <mergeCell ref="C3:E3"/>
    <mergeCell ref="A5:E5"/>
    <mergeCell ref="A9:E9"/>
    <mergeCell ref="A1:B1"/>
    <mergeCell ref="A2:B2"/>
    <mergeCell ref="A3:B3"/>
    <mergeCell ref="C63:C64"/>
    <mergeCell ref="D63:D64"/>
    <mergeCell ref="A6:E6"/>
    <mergeCell ref="A7:E7"/>
    <mergeCell ref="A8:E8"/>
    <mergeCell ref="C13:C14"/>
    <mergeCell ref="D13:D14"/>
    <mergeCell ref="A57:E57"/>
    <mergeCell ref="A58:E58"/>
    <mergeCell ref="A59:E59"/>
    <mergeCell ref="C1:E1"/>
    <mergeCell ref="C2:E2"/>
  </mergeCells>
  <printOptions horizontalCentered="1"/>
  <pageMargins left="0.5511811023622047" right="0.2755905511811024" top="0.7086614173228347" bottom="0.2362204724409449" header="0.5511811023622047"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H51"/>
  <sheetViews>
    <sheetView workbookViewId="0" topLeftCell="A10">
      <selection activeCell="A3" sqref="A3:E3"/>
    </sheetView>
  </sheetViews>
  <sheetFormatPr defaultColWidth="8.796875" defaultRowHeight="15"/>
  <cols>
    <col min="1" max="1" width="7.8984375" style="3" customWidth="1"/>
    <col min="2" max="2" width="45.8984375" style="3" customWidth="1"/>
    <col min="3" max="3" width="16.09765625" style="3" customWidth="1"/>
    <col min="4" max="4" width="15.69921875" style="3" customWidth="1"/>
    <col min="5" max="5" width="9.8984375" style="3" customWidth="1"/>
    <col min="6" max="7" width="9" style="3" customWidth="1"/>
    <col min="8" max="8" width="16" style="3" bestFit="1" customWidth="1"/>
    <col min="9" max="16384" width="9" style="3" customWidth="1"/>
  </cols>
  <sheetData>
    <row r="1" spans="1:6" ht="16.5">
      <c r="A1" s="816" t="s">
        <v>804</v>
      </c>
      <c r="B1" s="816"/>
      <c r="C1" s="816"/>
      <c r="D1" s="816"/>
      <c r="E1" s="816"/>
      <c r="F1" s="387"/>
    </row>
    <row r="2" spans="1:6" ht="16.5">
      <c r="A2" s="817" t="s">
        <v>805</v>
      </c>
      <c r="B2" s="817"/>
      <c r="C2" s="817"/>
      <c r="D2" s="817"/>
      <c r="E2" s="817"/>
      <c r="F2" s="9"/>
    </row>
    <row r="3" spans="1:6" ht="12.75" customHeight="1">
      <c r="A3" s="817" t="s">
        <v>806</v>
      </c>
      <c r="B3" s="817"/>
      <c r="C3" s="817"/>
      <c r="D3" s="817"/>
      <c r="E3" s="817"/>
      <c r="F3" s="809"/>
    </row>
    <row r="4" spans="1:6" ht="17.25" customHeight="1">
      <c r="A4" s="806"/>
      <c r="B4" s="473"/>
      <c r="C4" s="806"/>
      <c r="D4" s="473"/>
      <c r="E4" s="473"/>
      <c r="F4" s="473"/>
    </row>
    <row r="5" spans="1:6" ht="18.75">
      <c r="A5" s="727" t="s">
        <v>807</v>
      </c>
      <c r="B5" s="727"/>
      <c r="C5" s="727"/>
      <c r="D5" s="727"/>
      <c r="E5" s="727"/>
      <c r="F5" s="9"/>
    </row>
    <row r="6" spans="1:5" ht="39" customHeight="1">
      <c r="A6" s="819" t="s">
        <v>808</v>
      </c>
      <c r="B6" s="819"/>
      <c r="C6" s="819"/>
      <c r="D6" s="819"/>
      <c r="E6" s="819"/>
    </row>
    <row r="7" spans="1:5" ht="16.5">
      <c r="A7" s="820" t="s">
        <v>800</v>
      </c>
      <c r="B7" s="820"/>
      <c r="C7" s="820"/>
      <c r="D7" s="820"/>
      <c r="E7" s="820"/>
    </row>
    <row r="8" spans="1:5" ht="15.75">
      <c r="A8" s="810" t="s">
        <v>803</v>
      </c>
      <c r="B8" s="701"/>
      <c r="C8" s="701"/>
      <c r="D8" s="701"/>
      <c r="E8" s="701"/>
    </row>
    <row r="9" ht="15"/>
    <row r="10" spans="4:5" ht="15.75">
      <c r="D10" s="697" t="s">
        <v>626</v>
      </c>
      <c r="E10" s="697"/>
    </row>
    <row r="11" spans="1:5" s="125" customFormat="1" ht="33.75" customHeight="1">
      <c r="A11" s="378" t="s">
        <v>132</v>
      </c>
      <c r="B11" s="378" t="s">
        <v>148</v>
      </c>
      <c r="C11" s="378" t="s">
        <v>81</v>
      </c>
      <c r="D11" s="378" t="s">
        <v>3</v>
      </c>
      <c r="E11" s="378" t="s">
        <v>4</v>
      </c>
    </row>
    <row r="12" spans="1:5" s="125" customFormat="1" ht="21" customHeight="1">
      <c r="A12" s="378" t="s">
        <v>5</v>
      </c>
      <c r="B12" s="378" t="s">
        <v>6</v>
      </c>
      <c r="C12" s="378">
        <v>1</v>
      </c>
      <c r="D12" s="378">
        <v>2</v>
      </c>
      <c r="E12" s="378">
        <v>3</v>
      </c>
    </row>
    <row r="13" spans="1:5" s="125" customFormat="1" ht="17.25" customHeight="1">
      <c r="A13" s="378" t="s">
        <v>5</v>
      </c>
      <c r="B13" s="379" t="s">
        <v>599</v>
      </c>
      <c r="C13" s="415"/>
      <c r="D13" s="415"/>
      <c r="E13" s="380"/>
    </row>
    <row r="14" spans="1:5" s="43" customFormat="1" ht="18" customHeight="1">
      <c r="A14" s="374" t="s">
        <v>14</v>
      </c>
      <c r="B14" s="375" t="s">
        <v>525</v>
      </c>
      <c r="C14" s="416">
        <f>C15+C16+C19+C20+C21+C22</f>
        <v>439920000000</v>
      </c>
      <c r="D14" s="416">
        <f>D15+D16+D19+D20+D21+D22</f>
        <v>725532441489</v>
      </c>
      <c r="E14" s="423">
        <f>D14/C14*100</f>
        <v>164.92372283346972</v>
      </c>
    </row>
    <row r="15" spans="1:8" s="125" customFormat="1" ht="15.75">
      <c r="A15" s="380">
        <v>1</v>
      </c>
      <c r="B15" s="129" t="s">
        <v>526</v>
      </c>
      <c r="C15" s="415">
        <v>267120000000</v>
      </c>
      <c r="D15" s="415">
        <v>391168195944</v>
      </c>
      <c r="E15" s="414">
        <f>D15/C15*100</f>
        <v>146.4391269631626</v>
      </c>
      <c r="H15" s="427"/>
    </row>
    <row r="16" spans="1:5" s="125" customFormat="1" ht="15.75">
      <c r="A16" s="380">
        <v>2</v>
      </c>
      <c r="B16" s="129" t="s">
        <v>527</v>
      </c>
      <c r="C16" s="415">
        <f>C17+C18</f>
        <v>172800000000</v>
      </c>
      <c r="D16" s="415">
        <f>D17+D18</f>
        <v>244434528500</v>
      </c>
      <c r="E16" s="414">
        <f>D16/C16*100</f>
        <v>141.45516695601853</v>
      </c>
    </row>
    <row r="17" spans="1:5" s="125" customFormat="1" ht="15.75">
      <c r="A17" s="380" t="s">
        <v>18</v>
      </c>
      <c r="B17" s="129" t="s">
        <v>528</v>
      </c>
      <c r="C17" s="415">
        <v>159099000000</v>
      </c>
      <c r="D17" s="415">
        <v>159099000000</v>
      </c>
      <c r="E17" s="414">
        <f>D17/C17*100</f>
        <v>100</v>
      </c>
    </row>
    <row r="18" spans="1:5" s="125" customFormat="1" ht="15.75">
      <c r="A18" s="380" t="s">
        <v>18</v>
      </c>
      <c r="B18" s="129" t="s">
        <v>109</v>
      </c>
      <c r="C18" s="415">
        <v>13701000000</v>
      </c>
      <c r="D18" s="415">
        <v>85335528500</v>
      </c>
      <c r="E18" s="414">
        <f>D18/C18*100</f>
        <v>622.8416064520837</v>
      </c>
    </row>
    <row r="19" spans="1:5" s="125" customFormat="1" ht="15.75">
      <c r="A19" s="380">
        <v>3</v>
      </c>
      <c r="B19" s="129" t="s">
        <v>529</v>
      </c>
      <c r="C19" s="415">
        <v>0</v>
      </c>
      <c r="D19" s="415"/>
      <c r="E19" s="414"/>
    </row>
    <row r="20" spans="1:5" s="125" customFormat="1" ht="15.75">
      <c r="A20" s="380">
        <v>4</v>
      </c>
      <c r="B20" s="129" t="s">
        <v>510</v>
      </c>
      <c r="C20" s="415">
        <v>0</v>
      </c>
      <c r="D20" s="415">
        <v>12914440793</v>
      </c>
      <c r="E20" s="414"/>
    </row>
    <row r="21" spans="1:5" s="125" customFormat="1" ht="15.75">
      <c r="A21" s="380">
        <v>5</v>
      </c>
      <c r="B21" s="129" t="s">
        <v>130</v>
      </c>
      <c r="C21" s="415">
        <v>0</v>
      </c>
      <c r="D21" s="415">
        <v>75385859752</v>
      </c>
      <c r="E21" s="414"/>
    </row>
    <row r="22" spans="1:5" s="125" customFormat="1" ht="15.75">
      <c r="A22" s="389">
        <v>6</v>
      </c>
      <c r="B22" s="129" t="s">
        <v>603</v>
      </c>
      <c r="C22" s="415">
        <v>0</v>
      </c>
      <c r="D22" s="415">
        <v>1629416500</v>
      </c>
      <c r="E22" s="414"/>
    </row>
    <row r="23" spans="1:5" s="9" customFormat="1" ht="15.75">
      <c r="A23" s="413" t="s">
        <v>25</v>
      </c>
      <c r="B23" s="379" t="s">
        <v>530</v>
      </c>
      <c r="C23" s="417">
        <f>C24+C25+C28+C29+C30</f>
        <v>439920000000</v>
      </c>
      <c r="D23" s="417">
        <f>D24+D25+D28+D29+D30</f>
        <v>519770215270</v>
      </c>
      <c r="E23" s="424">
        <f>D23/C23*100</f>
        <v>118.15107639343516</v>
      </c>
    </row>
    <row r="24" spans="1:5" s="125" customFormat="1" ht="15.75">
      <c r="A24" s="380">
        <v>1</v>
      </c>
      <c r="B24" s="129" t="s">
        <v>601</v>
      </c>
      <c r="C24" s="415">
        <v>395120000000</v>
      </c>
      <c r="D24" s="415">
        <v>403734752761</v>
      </c>
      <c r="E24" s="414">
        <f>D24/C24*100</f>
        <v>102.18028770019234</v>
      </c>
    </row>
    <row r="25" spans="1:5" s="125" customFormat="1" ht="15.75">
      <c r="A25" s="380">
        <v>2</v>
      </c>
      <c r="B25" s="129" t="s">
        <v>531</v>
      </c>
      <c r="C25" s="415">
        <f>C26+C27</f>
        <v>44800000000</v>
      </c>
      <c r="D25" s="415">
        <f>D26+D27</f>
        <v>68244707000</v>
      </c>
      <c r="E25" s="414">
        <f>D25/C25*100</f>
        <v>152.33193526785712</v>
      </c>
    </row>
    <row r="26" spans="1:5" s="125" customFormat="1" ht="15.75">
      <c r="A26" s="380" t="s">
        <v>18</v>
      </c>
      <c r="B26" s="129" t="s">
        <v>532</v>
      </c>
      <c r="C26" s="415">
        <v>37481462000</v>
      </c>
      <c r="D26" s="415">
        <v>37481462000</v>
      </c>
      <c r="E26" s="414">
        <f>D26/C26*100</f>
        <v>100</v>
      </c>
    </row>
    <row r="27" spans="1:5" s="125" customFormat="1" ht="15.75">
      <c r="A27" s="380" t="s">
        <v>18</v>
      </c>
      <c r="B27" s="129" t="s">
        <v>533</v>
      </c>
      <c r="C27" s="415">
        <v>7318538000</v>
      </c>
      <c r="D27" s="415">
        <v>30763245000</v>
      </c>
      <c r="E27" s="414">
        <f>D27/C27*100</f>
        <v>420.34686436006757</v>
      </c>
    </row>
    <row r="28" spans="1:5" s="421" customFormat="1" ht="15.75">
      <c r="A28" s="418">
        <v>3</v>
      </c>
      <c r="B28" s="419" t="s">
        <v>513</v>
      </c>
      <c r="C28" s="420"/>
      <c r="D28" s="420">
        <v>35732660195</v>
      </c>
      <c r="E28" s="492"/>
    </row>
    <row r="29" spans="1:5" s="421" customFormat="1" ht="15.75">
      <c r="A29" s="418">
        <v>4</v>
      </c>
      <c r="B29" s="419" t="s">
        <v>604</v>
      </c>
      <c r="C29" s="420">
        <v>0</v>
      </c>
      <c r="D29" s="420">
        <v>10428678814</v>
      </c>
      <c r="E29" s="414"/>
    </row>
    <row r="30" spans="1:5" s="421" customFormat="1" ht="15.75">
      <c r="A30" s="418">
        <v>5</v>
      </c>
      <c r="B30" s="419" t="s">
        <v>605</v>
      </c>
      <c r="C30" s="420"/>
      <c r="D30" s="420">
        <v>1629416500</v>
      </c>
      <c r="E30" s="414"/>
    </row>
    <row r="31" spans="1:5" s="9" customFormat="1" ht="31.5">
      <c r="A31" s="413" t="s">
        <v>28</v>
      </c>
      <c r="B31" s="379" t="s">
        <v>534</v>
      </c>
      <c r="C31" s="417"/>
      <c r="D31" s="422">
        <v>0</v>
      </c>
      <c r="E31" s="414"/>
    </row>
    <row r="32" spans="1:5" s="125" customFormat="1" ht="21.75" customHeight="1">
      <c r="A32" s="378" t="s">
        <v>30</v>
      </c>
      <c r="B32" s="379" t="s">
        <v>535</v>
      </c>
      <c r="C32" s="415"/>
      <c r="D32" s="417">
        <f>D14-D23</f>
        <v>205762226219</v>
      </c>
      <c r="E32" s="414"/>
    </row>
    <row r="33" spans="1:5" s="125" customFormat="1" ht="15.75">
      <c r="A33" s="378" t="s">
        <v>6</v>
      </c>
      <c r="B33" s="379" t="s">
        <v>600</v>
      </c>
      <c r="C33" s="415"/>
      <c r="D33" s="415"/>
      <c r="E33" s="414"/>
    </row>
    <row r="34" spans="1:5" s="9" customFormat="1" ht="15.75">
      <c r="A34" s="413" t="s">
        <v>14</v>
      </c>
      <c r="B34" s="379" t="s">
        <v>525</v>
      </c>
      <c r="C34" s="417">
        <f>C35+C36+C39+C40+C41</f>
        <v>53549000000</v>
      </c>
      <c r="D34" s="417">
        <f>D35+D36+D39+D40+D41</f>
        <v>89575209561</v>
      </c>
      <c r="E34" s="424">
        <f>D34/C34*100</f>
        <v>167.27709118937796</v>
      </c>
    </row>
    <row r="35" spans="1:5" s="125" customFormat="1" ht="15.75">
      <c r="A35" s="380">
        <v>1</v>
      </c>
      <c r="B35" s="129" t="s">
        <v>526</v>
      </c>
      <c r="C35" s="415">
        <v>8749000000</v>
      </c>
      <c r="D35" s="415">
        <v>10699505962</v>
      </c>
      <c r="E35" s="414">
        <f>D35/C35*100</f>
        <v>122.29404459938277</v>
      </c>
    </row>
    <row r="36" spans="1:5" s="125" customFormat="1" ht="15.75">
      <c r="A36" s="380">
        <v>2</v>
      </c>
      <c r="B36" s="129" t="s">
        <v>527</v>
      </c>
      <c r="C36" s="415">
        <f>C37+C38</f>
        <v>44800000000</v>
      </c>
      <c r="D36" s="415">
        <f>D37+D38</f>
        <v>68244707000</v>
      </c>
      <c r="E36" s="414">
        <f>D36/C36*100</f>
        <v>152.33193526785712</v>
      </c>
    </row>
    <row r="37" spans="1:5" s="125" customFormat="1" ht="15.75">
      <c r="A37" s="380" t="s">
        <v>18</v>
      </c>
      <c r="B37" s="129" t="s">
        <v>507</v>
      </c>
      <c r="C37" s="415">
        <v>37481462000</v>
      </c>
      <c r="D37" s="415">
        <v>37481462000</v>
      </c>
      <c r="E37" s="414">
        <f>D37/C37*100</f>
        <v>100</v>
      </c>
    </row>
    <row r="38" spans="1:5" s="125" customFormat="1" ht="15.75">
      <c r="A38" s="380" t="s">
        <v>18</v>
      </c>
      <c r="B38" s="129" t="s">
        <v>508</v>
      </c>
      <c r="C38" s="415">
        <v>7318538000</v>
      </c>
      <c r="D38" s="415">
        <v>30763245000</v>
      </c>
      <c r="E38" s="414">
        <f>D38/C38*100</f>
        <v>420.34686436006757</v>
      </c>
    </row>
    <row r="39" spans="1:5" s="125" customFormat="1" ht="15.75">
      <c r="A39" s="380">
        <v>3</v>
      </c>
      <c r="B39" s="129" t="s">
        <v>510</v>
      </c>
      <c r="C39" s="415"/>
      <c r="D39" s="415">
        <v>8754917960</v>
      </c>
      <c r="E39" s="414"/>
    </row>
    <row r="40" spans="1:5" s="125" customFormat="1" ht="15.75">
      <c r="A40" s="380">
        <v>4</v>
      </c>
      <c r="B40" s="129" t="s">
        <v>130</v>
      </c>
      <c r="C40" s="415"/>
      <c r="D40" s="415">
        <v>1674213839</v>
      </c>
      <c r="E40" s="414"/>
    </row>
    <row r="41" spans="1:5" s="125" customFormat="1" ht="15.75">
      <c r="A41" s="418">
        <v>5</v>
      </c>
      <c r="B41" s="129" t="s">
        <v>603</v>
      </c>
      <c r="C41" s="415"/>
      <c r="D41" s="415">
        <v>201864800</v>
      </c>
      <c r="E41" s="414"/>
    </row>
    <row r="42" spans="1:5" s="9" customFormat="1" ht="15.75">
      <c r="A42" s="413" t="s">
        <v>25</v>
      </c>
      <c r="B42" s="379" t="s">
        <v>530</v>
      </c>
      <c r="C42" s="417">
        <f>C43+C44+C47+C48</f>
        <v>53549000000</v>
      </c>
      <c r="D42" s="417">
        <f>D43+D44+D47+D48</f>
        <v>80484811156</v>
      </c>
      <c r="E42" s="424">
        <f>D42/C42*100</f>
        <v>150.30124027712935</v>
      </c>
    </row>
    <row r="43" spans="1:5" s="125" customFormat="1" ht="15.75">
      <c r="A43" s="389">
        <v>1</v>
      </c>
      <c r="B43" s="129" t="s">
        <v>602</v>
      </c>
      <c r="C43" s="415">
        <v>53549000000</v>
      </c>
      <c r="D43" s="415">
        <v>76144502348</v>
      </c>
      <c r="E43" s="414">
        <f>D43/C43*100</f>
        <v>142.19593708192497</v>
      </c>
    </row>
    <row r="44" spans="1:5" s="125" customFormat="1" ht="15.75">
      <c r="A44" s="380">
        <v>2</v>
      </c>
      <c r="B44" s="129" t="s">
        <v>536</v>
      </c>
      <c r="C44" s="415"/>
      <c r="D44" s="415"/>
      <c r="E44" s="414"/>
    </row>
    <row r="45" spans="1:5" s="125" customFormat="1" ht="15.75">
      <c r="A45" s="380" t="s">
        <v>18</v>
      </c>
      <c r="B45" s="129" t="s">
        <v>532</v>
      </c>
      <c r="C45" s="415"/>
      <c r="D45" s="415"/>
      <c r="E45" s="414"/>
    </row>
    <row r="46" spans="1:5" s="125" customFormat="1" ht="15.75">
      <c r="A46" s="380" t="s">
        <v>18</v>
      </c>
      <c r="B46" s="129" t="s">
        <v>533</v>
      </c>
      <c r="C46" s="415"/>
      <c r="D46" s="415"/>
      <c r="E46" s="414"/>
    </row>
    <row r="47" spans="1:5" s="421" customFormat="1" ht="15.75">
      <c r="A47" s="418">
        <v>3</v>
      </c>
      <c r="B47" s="419" t="s">
        <v>513</v>
      </c>
      <c r="C47" s="420"/>
      <c r="D47" s="420">
        <v>4138444008</v>
      </c>
      <c r="E47" s="492"/>
    </row>
    <row r="48" spans="1:5" s="421" customFormat="1" ht="15.75">
      <c r="A48" s="418">
        <v>4</v>
      </c>
      <c r="B48" s="419" t="s">
        <v>605</v>
      </c>
      <c r="C48" s="420"/>
      <c r="D48" s="420">
        <v>201864800</v>
      </c>
      <c r="E48" s="414"/>
    </row>
    <row r="49" spans="1:5" s="9" customFormat="1" ht="22.5" customHeight="1">
      <c r="A49" s="413" t="s">
        <v>28</v>
      </c>
      <c r="B49" s="379" t="s">
        <v>537</v>
      </c>
      <c r="C49" s="417"/>
      <c r="D49" s="417">
        <f>D34-D42</f>
        <v>9090398405</v>
      </c>
      <c r="E49" s="414"/>
    </row>
    <row r="50" spans="1:5" ht="38.25" customHeight="1" hidden="1">
      <c r="A50" s="700" t="s">
        <v>539</v>
      </c>
      <c r="B50" s="700"/>
      <c r="C50" s="700"/>
      <c r="D50" s="700"/>
      <c r="E50" s="700"/>
    </row>
    <row r="51" ht="15.75" hidden="1">
      <c r="A51" s="388" t="s">
        <v>538</v>
      </c>
    </row>
  </sheetData>
  <sheetProtection/>
  <mergeCells count="9">
    <mergeCell ref="A1:E1"/>
    <mergeCell ref="A2:E2"/>
    <mergeCell ref="A3:E3"/>
    <mergeCell ref="A5:E5"/>
    <mergeCell ref="A8:E8"/>
    <mergeCell ref="A50:E50"/>
    <mergeCell ref="A6:E6"/>
    <mergeCell ref="A7:E7"/>
    <mergeCell ref="D10:E10"/>
  </mergeCells>
  <printOptions/>
  <pageMargins left="0.7086614173228347" right="0.31496062992125984" top="0.5905511811023623" bottom="0.35433070866141736" header="0.31496062992125984" footer="0.1181102362204724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0000"/>
  </sheetPr>
  <dimension ref="A1:K66"/>
  <sheetViews>
    <sheetView workbookViewId="0" topLeftCell="A10">
      <selection activeCell="E13" sqref="E13"/>
    </sheetView>
  </sheetViews>
  <sheetFormatPr defaultColWidth="8.796875" defaultRowHeight="15"/>
  <cols>
    <col min="1" max="1" width="5.3984375" style="0" customWidth="1"/>
    <col min="2" max="2" width="49.59765625" style="0" customWidth="1"/>
    <col min="3" max="3" width="16.5" style="0" customWidth="1"/>
    <col min="4" max="4" width="15.69921875" style="0" customWidth="1"/>
    <col min="5" max="5" width="16.09765625" style="0" customWidth="1"/>
    <col min="6" max="6" width="15.69921875" style="0" customWidth="1"/>
    <col min="7" max="7" width="10.19921875" style="0" customWidth="1"/>
    <col min="8" max="8" width="10.09765625" style="0" customWidth="1"/>
    <col min="10" max="10" width="18.8984375" style="0" bestFit="1" customWidth="1"/>
    <col min="11" max="11" width="9.09765625" style="0" bestFit="1" customWidth="1"/>
  </cols>
  <sheetData>
    <row r="1" spans="1:8" ht="16.5">
      <c r="A1" s="832" t="s">
        <v>794</v>
      </c>
      <c r="B1" s="832"/>
      <c r="C1" s="832" t="s">
        <v>809</v>
      </c>
      <c r="D1" s="832"/>
      <c r="E1" s="832"/>
      <c r="F1" s="832"/>
      <c r="G1" s="832"/>
      <c r="H1" s="832"/>
    </row>
    <row r="2" spans="1:8" ht="17.25" customHeight="1">
      <c r="A2" s="833" t="s">
        <v>260</v>
      </c>
      <c r="B2" s="833"/>
      <c r="C2" s="834" t="s">
        <v>810</v>
      </c>
      <c r="D2" s="834"/>
      <c r="E2" s="834"/>
      <c r="F2" s="834"/>
      <c r="G2" s="834"/>
      <c r="H2" s="834"/>
    </row>
    <row r="3" spans="1:8" ht="15.75">
      <c r="A3" s="810" t="s">
        <v>811</v>
      </c>
      <c r="B3" s="701"/>
      <c r="C3" s="821" t="s">
        <v>802</v>
      </c>
      <c r="D3" s="822"/>
      <c r="E3" s="822"/>
      <c r="F3" s="822"/>
      <c r="G3" s="822"/>
      <c r="H3" s="822"/>
    </row>
    <row r="4" spans="1:8" ht="11.25" customHeight="1">
      <c r="A4" s="818"/>
      <c r="B4" s="692"/>
      <c r="C4" s="823"/>
      <c r="D4" s="824"/>
      <c r="E4" s="824"/>
      <c r="F4" s="824"/>
      <c r="G4" s="824"/>
      <c r="H4" s="824"/>
    </row>
    <row r="5" spans="1:8" ht="18.75">
      <c r="A5" s="825" t="s">
        <v>812</v>
      </c>
      <c r="B5" s="825"/>
      <c r="C5" s="825"/>
      <c r="D5" s="825"/>
      <c r="E5" s="825"/>
      <c r="F5" s="825"/>
      <c r="G5" s="825"/>
      <c r="H5" s="825"/>
    </row>
    <row r="6" spans="1:8" s="385" customFormat="1" ht="18.75">
      <c r="A6" s="813" t="s">
        <v>591</v>
      </c>
      <c r="B6" s="813"/>
      <c r="C6" s="813"/>
      <c r="D6" s="813"/>
      <c r="E6" s="813"/>
      <c r="F6" s="813"/>
      <c r="G6" s="813"/>
      <c r="H6" s="813"/>
    </row>
    <row r="7" spans="1:8" s="385" customFormat="1" ht="18.75">
      <c r="A7" s="814" t="s">
        <v>800</v>
      </c>
      <c r="B7" s="814"/>
      <c r="C7" s="814"/>
      <c r="D7" s="814"/>
      <c r="E7" s="814"/>
      <c r="F7" s="814"/>
      <c r="G7" s="814"/>
      <c r="H7" s="814"/>
    </row>
    <row r="8" spans="1:8" s="385" customFormat="1" ht="15.75">
      <c r="A8" s="808" t="s">
        <v>813</v>
      </c>
      <c r="B8" s="696"/>
      <c r="C8" s="696"/>
      <c r="D8" s="696"/>
      <c r="E8" s="696"/>
      <c r="F8" s="696"/>
      <c r="G8" s="696"/>
      <c r="H8" s="696"/>
    </row>
    <row r="9" spans="7:8" ht="15.75">
      <c r="G9" s="697" t="s">
        <v>626</v>
      </c>
      <c r="H9" s="697"/>
    </row>
    <row r="10" spans="1:8" s="385" customFormat="1" ht="18.75" customHeight="1">
      <c r="A10" s="702" t="s">
        <v>132</v>
      </c>
      <c r="B10" s="702" t="s">
        <v>148</v>
      </c>
      <c r="C10" s="702" t="s">
        <v>81</v>
      </c>
      <c r="D10" s="702"/>
      <c r="E10" s="702" t="s">
        <v>3</v>
      </c>
      <c r="F10" s="702"/>
      <c r="G10" s="702" t="s">
        <v>4</v>
      </c>
      <c r="H10" s="702"/>
    </row>
    <row r="11" spans="1:8" s="385" customFormat="1" ht="32.25" customHeight="1">
      <c r="A11" s="702"/>
      <c r="B11" s="702"/>
      <c r="C11" s="402" t="s">
        <v>540</v>
      </c>
      <c r="D11" s="402" t="s">
        <v>541</v>
      </c>
      <c r="E11" s="402" t="s">
        <v>540</v>
      </c>
      <c r="F11" s="402" t="s">
        <v>541</v>
      </c>
      <c r="G11" s="402" t="s">
        <v>540</v>
      </c>
      <c r="H11" s="402" t="s">
        <v>541</v>
      </c>
    </row>
    <row r="12" spans="1:8" s="385" customFormat="1" ht="18" customHeight="1">
      <c r="A12" s="402" t="s">
        <v>5</v>
      </c>
      <c r="B12" s="402" t="s">
        <v>6</v>
      </c>
      <c r="C12" s="402">
        <v>1</v>
      </c>
      <c r="D12" s="402">
        <v>2</v>
      </c>
      <c r="E12" s="402">
        <v>3</v>
      </c>
      <c r="F12" s="402">
        <v>4</v>
      </c>
      <c r="G12" s="402" t="s">
        <v>542</v>
      </c>
      <c r="H12" s="402" t="s">
        <v>543</v>
      </c>
    </row>
    <row r="13" spans="1:11" s="385" customFormat="1" ht="21.75" customHeight="1">
      <c r="A13" s="402"/>
      <c r="B13" s="403" t="s">
        <v>544</v>
      </c>
      <c r="C13" s="404">
        <f>C14+C58+C59+C60</f>
        <v>486499000000</v>
      </c>
      <c r="D13" s="404">
        <f>D14+D58+D59+D60</f>
        <v>448669000000</v>
      </c>
      <c r="E13" s="686">
        <f>E14+E58+E59+E60</f>
        <v>873766442651</v>
      </c>
      <c r="F13" s="404">
        <f>F14+F58+F59+F60</f>
        <v>815107651050</v>
      </c>
      <c r="G13" s="405">
        <f>E13/C13*100</f>
        <v>179.60292675853393</v>
      </c>
      <c r="H13" s="405">
        <f aca="true" t="shared" si="0" ref="G13:H15">F13/D13*100</f>
        <v>181.6723800953487</v>
      </c>
      <c r="J13" s="398"/>
      <c r="K13" s="400"/>
    </row>
    <row r="14" spans="1:10" s="397" customFormat="1" ht="21" customHeight="1">
      <c r="A14" s="402" t="s">
        <v>5</v>
      </c>
      <c r="B14" s="403" t="s">
        <v>545</v>
      </c>
      <c r="C14" s="404">
        <f>C15+C43+C44+C51+C57</f>
        <v>486499000000</v>
      </c>
      <c r="D14" s="404">
        <f>D15+D43+D44+D51+D57</f>
        <v>448669000000</v>
      </c>
      <c r="E14" s="686">
        <f>E15+E43+E44+E51+E57+E52</f>
        <v>775037010307</v>
      </c>
      <c r="F14" s="404">
        <f>F15+F43+F44+F51+F57+F52</f>
        <v>716378218706</v>
      </c>
      <c r="G14" s="405">
        <f t="shared" si="0"/>
        <v>159.3090654465888</v>
      </c>
      <c r="H14" s="405">
        <f t="shared" si="0"/>
        <v>159.66742046051766</v>
      </c>
      <c r="J14" s="399"/>
    </row>
    <row r="15" spans="1:8" s="385" customFormat="1" ht="21" customHeight="1">
      <c r="A15" s="402" t="s">
        <v>14</v>
      </c>
      <c r="B15" s="403" t="s">
        <v>546</v>
      </c>
      <c r="C15" s="406">
        <f>C16+C17+C18+C19+C20+C21+C24+C25+C30+C31+C32+C33+C34+C35+C37+C38+C39+C40+C41+C42</f>
        <v>313699000000</v>
      </c>
      <c r="D15" s="406">
        <f>D16+D17+D18+D19+D20+D21+D24+D25+D30+D31+D32+D33+D34+D35+D37+D38+D39+D40+D41+D42</f>
        <v>275869000000</v>
      </c>
      <c r="E15" s="687">
        <f>E16+E17+E18+E19+E20+E21+E24+E25+E30+E31+E32+E33+E34+E35+E37+E38+E39+E40+E41+E42</f>
        <v>454417508941</v>
      </c>
      <c r="F15" s="406">
        <f>F16+F17+F18+F19+F20+F21+F24+F25+F30+F31+F32+F33+F34+F35+F37+F38+F39+F40+F41+F42</f>
        <v>401867701906</v>
      </c>
      <c r="G15" s="407">
        <f t="shared" si="0"/>
        <v>144.8578124064788</v>
      </c>
      <c r="H15" s="407">
        <f t="shared" si="0"/>
        <v>145.67338189720482</v>
      </c>
    </row>
    <row r="16" spans="1:8" s="385" customFormat="1" ht="30">
      <c r="A16" s="408">
        <v>1</v>
      </c>
      <c r="B16" s="401" t="s">
        <v>581</v>
      </c>
      <c r="C16" s="409"/>
      <c r="D16" s="409"/>
      <c r="E16" s="688"/>
      <c r="F16" s="409"/>
      <c r="G16" s="407"/>
      <c r="H16" s="407"/>
    </row>
    <row r="17" spans="1:8" s="385" customFormat="1" ht="30">
      <c r="A17" s="409">
        <v>2</v>
      </c>
      <c r="B17" s="401" t="s">
        <v>582</v>
      </c>
      <c r="C17" s="409"/>
      <c r="D17" s="409"/>
      <c r="E17" s="688"/>
      <c r="F17" s="409"/>
      <c r="G17" s="407"/>
      <c r="H17" s="407"/>
    </row>
    <row r="18" spans="1:8" s="385" customFormat="1" ht="30">
      <c r="A18" s="408">
        <v>3</v>
      </c>
      <c r="B18" s="401" t="s">
        <v>583</v>
      </c>
      <c r="C18" s="409"/>
      <c r="D18" s="409"/>
      <c r="E18" s="688"/>
      <c r="F18" s="409"/>
      <c r="G18" s="407"/>
      <c r="H18" s="407"/>
    </row>
    <row r="19" spans="1:8" s="385" customFormat="1" ht="30">
      <c r="A19" s="408">
        <v>4</v>
      </c>
      <c r="B19" s="401" t="s">
        <v>584</v>
      </c>
      <c r="C19" s="410">
        <v>154000000000</v>
      </c>
      <c r="D19" s="410">
        <v>152670000000</v>
      </c>
      <c r="E19" s="689">
        <v>137967127424</v>
      </c>
      <c r="F19" s="410">
        <v>133465925473</v>
      </c>
      <c r="G19" s="407">
        <f aca="true" t="shared" si="1" ref="G19:G33">E19/C19*100</f>
        <v>89.58904378181818</v>
      </c>
      <c r="H19" s="407">
        <f aca="true" t="shared" si="2" ref="H19:H33">F19/D19*100</f>
        <v>87.42118652846008</v>
      </c>
    </row>
    <row r="20" spans="1:8" s="385" customFormat="1" ht="15">
      <c r="A20" s="409">
        <v>5</v>
      </c>
      <c r="B20" s="401" t="s">
        <v>548</v>
      </c>
      <c r="C20" s="410">
        <v>27500000000</v>
      </c>
      <c r="D20" s="410">
        <v>0</v>
      </c>
      <c r="E20" s="690">
        <v>38694480383</v>
      </c>
      <c r="F20" s="407">
        <v>0</v>
      </c>
      <c r="G20" s="407">
        <f>E20/C20*100</f>
        <v>140.70720139272728</v>
      </c>
      <c r="H20" s="407"/>
    </row>
    <row r="21" spans="1:8" s="385" customFormat="1" ht="15">
      <c r="A21" s="409">
        <v>6</v>
      </c>
      <c r="B21" s="401" t="s">
        <v>549</v>
      </c>
      <c r="C21" s="409"/>
      <c r="D21" s="409"/>
      <c r="E21" s="689">
        <v>60000000</v>
      </c>
      <c r="F21" s="409"/>
      <c r="G21" s="407"/>
      <c r="H21" s="407"/>
    </row>
    <row r="22" spans="1:8" s="385" customFormat="1" ht="30">
      <c r="A22" s="409" t="s">
        <v>18</v>
      </c>
      <c r="B22" s="411" t="s">
        <v>550</v>
      </c>
      <c r="C22" s="409"/>
      <c r="D22" s="409"/>
      <c r="E22" s="688"/>
      <c r="F22" s="409"/>
      <c r="G22" s="407"/>
      <c r="H22" s="407"/>
    </row>
    <row r="23" spans="1:8" s="385" customFormat="1" ht="15">
      <c r="A23" s="409" t="s">
        <v>18</v>
      </c>
      <c r="B23" s="411" t="s">
        <v>551</v>
      </c>
      <c r="C23" s="409"/>
      <c r="D23" s="409"/>
      <c r="E23" s="409"/>
      <c r="F23" s="409"/>
      <c r="G23" s="407"/>
      <c r="H23" s="407"/>
    </row>
    <row r="24" spans="1:8" s="385" customFormat="1" ht="15">
      <c r="A24" s="409">
        <v>7</v>
      </c>
      <c r="B24" s="401" t="s">
        <v>552</v>
      </c>
      <c r="C24" s="410">
        <v>34000000000</v>
      </c>
      <c r="D24" s="410">
        <v>34000000000</v>
      </c>
      <c r="E24" s="410">
        <v>31448867281</v>
      </c>
      <c r="F24" s="410">
        <v>31448867281</v>
      </c>
      <c r="G24" s="407">
        <f t="shared" si="1"/>
        <v>92.49666847352941</v>
      </c>
      <c r="H24" s="407">
        <f t="shared" si="2"/>
        <v>92.49666847352941</v>
      </c>
    </row>
    <row r="25" spans="1:10" s="385" customFormat="1" ht="15">
      <c r="A25" s="409">
        <v>8</v>
      </c>
      <c r="B25" s="401" t="s">
        <v>553</v>
      </c>
      <c r="C25" s="410">
        <v>14170000000</v>
      </c>
      <c r="D25" s="410">
        <f>SUM(D26:D29)</f>
        <v>8170000000</v>
      </c>
      <c r="E25" s="410">
        <f>SUM(E26:E29)</f>
        <v>12353112805</v>
      </c>
      <c r="F25" s="410">
        <f>SUM(F26:F29)</f>
        <v>6714134918</v>
      </c>
      <c r="G25" s="407">
        <f t="shared" si="1"/>
        <v>87.17793087508822</v>
      </c>
      <c r="H25" s="407">
        <f t="shared" si="2"/>
        <v>82.18035395348838</v>
      </c>
      <c r="J25" s="400"/>
    </row>
    <row r="26" spans="1:8" s="385" customFormat="1" ht="15">
      <c r="A26" s="409" t="s">
        <v>18</v>
      </c>
      <c r="B26" s="411" t="s">
        <v>554</v>
      </c>
      <c r="C26" s="410">
        <v>4500000000</v>
      </c>
      <c r="D26" s="410"/>
      <c r="E26" s="410">
        <v>4527605010</v>
      </c>
      <c r="F26" s="409"/>
      <c r="G26" s="407">
        <f t="shared" si="1"/>
        <v>100.61344466666667</v>
      </c>
      <c r="H26" s="407"/>
    </row>
    <row r="27" spans="1:8" s="385" customFormat="1" ht="15">
      <c r="A27" s="409" t="s">
        <v>18</v>
      </c>
      <c r="B27" s="411" t="s">
        <v>555</v>
      </c>
      <c r="C27" s="410">
        <v>1500000000</v>
      </c>
      <c r="D27" s="410"/>
      <c r="E27" s="410">
        <v>1111372877</v>
      </c>
      <c r="F27" s="409"/>
      <c r="G27" s="407">
        <f t="shared" si="1"/>
        <v>74.09152513333333</v>
      </c>
      <c r="H27" s="407"/>
    </row>
    <row r="28" spans="1:8" s="437" customFormat="1" ht="15">
      <c r="A28" s="433" t="s">
        <v>18</v>
      </c>
      <c r="B28" s="434" t="s">
        <v>556</v>
      </c>
      <c r="C28" s="435">
        <v>6197000000</v>
      </c>
      <c r="D28" s="435">
        <v>6197000000</v>
      </c>
      <c r="E28" s="435">
        <v>5025783918</v>
      </c>
      <c r="F28" s="435">
        <v>5025783918</v>
      </c>
      <c r="G28" s="436">
        <f t="shared" si="1"/>
        <v>81.10027300306601</v>
      </c>
      <c r="H28" s="436">
        <f t="shared" si="2"/>
        <v>81.10027300306601</v>
      </c>
    </row>
    <row r="29" spans="1:10" s="437" customFormat="1" ht="15">
      <c r="A29" s="433" t="s">
        <v>18</v>
      </c>
      <c r="B29" s="434" t="s">
        <v>557</v>
      </c>
      <c r="C29" s="435">
        <v>1973000000</v>
      </c>
      <c r="D29" s="435">
        <v>1973000000</v>
      </c>
      <c r="E29" s="435">
        <v>1688351000</v>
      </c>
      <c r="F29" s="435">
        <v>1688351000</v>
      </c>
      <c r="G29" s="436">
        <f t="shared" si="1"/>
        <v>85.5727825646224</v>
      </c>
      <c r="H29" s="436">
        <f t="shared" si="2"/>
        <v>85.5727825646224</v>
      </c>
      <c r="J29" s="438"/>
    </row>
    <row r="30" spans="1:8" s="385" customFormat="1" ht="15">
      <c r="A30" s="409">
        <v>9</v>
      </c>
      <c r="B30" s="401" t="s">
        <v>558</v>
      </c>
      <c r="C30" s="409"/>
      <c r="D30" s="409"/>
      <c r="E30" s="409"/>
      <c r="F30" s="409"/>
      <c r="G30" s="407"/>
      <c r="H30" s="407"/>
    </row>
    <row r="31" spans="1:8" s="385" customFormat="1" ht="15">
      <c r="A31" s="409">
        <v>10</v>
      </c>
      <c r="B31" s="401" t="s">
        <v>559</v>
      </c>
      <c r="C31" s="410">
        <v>2000000000</v>
      </c>
      <c r="D31" s="410">
        <v>2000000000</v>
      </c>
      <c r="E31" s="410">
        <v>2333880810</v>
      </c>
      <c r="F31" s="410">
        <v>2333880810</v>
      </c>
      <c r="G31" s="407">
        <f t="shared" si="1"/>
        <v>116.6940405</v>
      </c>
      <c r="H31" s="407">
        <f t="shared" si="2"/>
        <v>116.6940405</v>
      </c>
    </row>
    <row r="32" spans="1:8" s="385" customFormat="1" ht="15">
      <c r="A32" s="409">
        <v>11</v>
      </c>
      <c r="B32" s="401" t="s">
        <v>560</v>
      </c>
      <c r="C32" s="410">
        <v>12500000000</v>
      </c>
      <c r="D32" s="410">
        <v>12500000000</v>
      </c>
      <c r="E32" s="410">
        <v>77932580602</v>
      </c>
      <c r="F32" s="410">
        <v>77932580602</v>
      </c>
      <c r="G32" s="407">
        <f t="shared" si="1"/>
        <v>623.460644816</v>
      </c>
      <c r="H32" s="407">
        <f t="shared" si="2"/>
        <v>623.460644816</v>
      </c>
    </row>
    <row r="33" spans="1:8" s="385" customFormat="1" ht="15">
      <c r="A33" s="409">
        <v>12</v>
      </c>
      <c r="B33" s="401" t="s">
        <v>561</v>
      </c>
      <c r="C33" s="410">
        <v>60000000000</v>
      </c>
      <c r="D33" s="410">
        <v>60000000000</v>
      </c>
      <c r="E33" s="410">
        <v>140773488578</v>
      </c>
      <c r="F33" s="410">
        <v>140773488578</v>
      </c>
      <c r="G33" s="407">
        <f t="shared" si="1"/>
        <v>234.62248096333332</v>
      </c>
      <c r="H33" s="407">
        <f t="shared" si="2"/>
        <v>234.62248096333332</v>
      </c>
    </row>
    <row r="34" spans="1:8" s="385" customFormat="1" ht="17.25" customHeight="1">
      <c r="A34" s="409">
        <v>13</v>
      </c>
      <c r="B34" s="401" t="s">
        <v>562</v>
      </c>
      <c r="C34" s="409"/>
      <c r="D34" s="409"/>
      <c r="E34" s="410">
        <v>158600000</v>
      </c>
      <c r="F34" s="410">
        <v>158600000</v>
      </c>
      <c r="G34" s="407"/>
      <c r="H34" s="407"/>
    </row>
    <row r="35" spans="1:8" s="385" customFormat="1" ht="15">
      <c r="A35" s="703">
        <v>14</v>
      </c>
      <c r="B35" s="401" t="s">
        <v>563</v>
      </c>
      <c r="C35" s="703"/>
      <c r="D35" s="703"/>
      <c r="E35" s="703"/>
      <c r="F35" s="703"/>
      <c r="G35" s="703"/>
      <c r="H35" s="703"/>
    </row>
    <row r="36" spans="1:8" s="385" customFormat="1" ht="15">
      <c r="A36" s="703"/>
      <c r="B36" s="401" t="s">
        <v>547</v>
      </c>
      <c r="C36" s="703"/>
      <c r="D36" s="703"/>
      <c r="E36" s="703"/>
      <c r="F36" s="703"/>
      <c r="G36" s="703"/>
      <c r="H36" s="703"/>
    </row>
    <row r="37" spans="1:8" s="385" customFormat="1" ht="15">
      <c r="A37" s="409">
        <v>15</v>
      </c>
      <c r="B37" s="401" t="s">
        <v>564</v>
      </c>
      <c r="C37" s="409"/>
      <c r="D37" s="409"/>
      <c r="E37" s="410">
        <v>44491431</v>
      </c>
      <c r="F37" s="409"/>
      <c r="G37" s="407"/>
      <c r="H37" s="407"/>
    </row>
    <row r="38" spans="1:8" s="385" customFormat="1" ht="15">
      <c r="A38" s="409">
        <v>16</v>
      </c>
      <c r="B38" s="401" t="s">
        <v>565</v>
      </c>
      <c r="C38" s="410">
        <v>8438000000</v>
      </c>
      <c r="D38" s="410">
        <v>5438000000</v>
      </c>
      <c r="E38" s="410">
        <v>10909761932</v>
      </c>
      <c r="F38" s="410">
        <v>7299106549</v>
      </c>
      <c r="G38" s="407">
        <f>E38/C38*100</f>
        <v>129.29322033657263</v>
      </c>
      <c r="H38" s="407">
        <f>F38/D38*100</f>
        <v>134.22409983449796</v>
      </c>
    </row>
    <row r="39" spans="1:8" s="385" customFormat="1" ht="15">
      <c r="A39" s="409">
        <v>17</v>
      </c>
      <c r="B39" s="401" t="s">
        <v>566</v>
      </c>
      <c r="C39" s="410">
        <v>1091000000</v>
      </c>
      <c r="D39" s="410">
        <v>1091000000</v>
      </c>
      <c r="E39" s="410">
        <v>1741117695</v>
      </c>
      <c r="F39" s="410">
        <v>1741117695</v>
      </c>
      <c r="G39" s="407">
        <f>E39/C39*100</f>
        <v>159.58915627864346</v>
      </c>
      <c r="H39" s="407">
        <f>F39/D39*100</f>
        <v>159.58915627864346</v>
      </c>
    </row>
    <row r="40" spans="1:8" s="385" customFormat="1" ht="15">
      <c r="A40" s="409">
        <v>18</v>
      </c>
      <c r="B40" s="401" t="s">
        <v>567</v>
      </c>
      <c r="C40" s="409"/>
      <c r="D40" s="409"/>
      <c r="E40" s="409"/>
      <c r="F40" s="409"/>
      <c r="G40" s="407"/>
      <c r="H40" s="407"/>
    </row>
    <row r="41" spans="1:8" s="385" customFormat="1" ht="45">
      <c r="A41" s="409">
        <v>19</v>
      </c>
      <c r="B41" s="401" t="s">
        <v>568</v>
      </c>
      <c r="C41" s="409"/>
      <c r="D41" s="409"/>
      <c r="E41" s="409"/>
      <c r="F41" s="409"/>
      <c r="G41" s="407"/>
      <c r="H41" s="407"/>
    </row>
    <row r="42" spans="1:8" s="385" customFormat="1" ht="15">
      <c r="A42" s="409">
        <v>20</v>
      </c>
      <c r="B42" s="401" t="s">
        <v>569</v>
      </c>
      <c r="C42" s="409"/>
      <c r="D42" s="409"/>
      <c r="E42" s="409"/>
      <c r="F42" s="409"/>
      <c r="G42" s="407"/>
      <c r="H42" s="407"/>
    </row>
    <row r="43" spans="1:8" s="385" customFormat="1" ht="15">
      <c r="A43" s="402" t="s">
        <v>25</v>
      </c>
      <c r="B43" s="403" t="s">
        <v>570</v>
      </c>
      <c r="C43" s="409"/>
      <c r="D43" s="409"/>
      <c r="E43" s="409"/>
      <c r="F43" s="409"/>
      <c r="G43" s="407"/>
      <c r="H43" s="407"/>
    </row>
    <row r="44" spans="1:8" s="397" customFormat="1" ht="15.75">
      <c r="A44" s="402" t="s">
        <v>28</v>
      </c>
      <c r="B44" s="403" t="s">
        <v>571</v>
      </c>
      <c r="C44" s="402"/>
      <c r="D44" s="402"/>
      <c r="E44" s="404">
        <f>SUM(E45:E50)</f>
        <v>6108984566</v>
      </c>
      <c r="F44" s="404">
        <f>SUM(F45:F50)</f>
        <v>0</v>
      </c>
      <c r="G44" s="407"/>
      <c r="H44" s="407"/>
    </row>
    <row r="45" spans="1:8" s="385" customFormat="1" ht="15">
      <c r="A45" s="409">
        <v>1</v>
      </c>
      <c r="B45" s="401" t="s">
        <v>572</v>
      </c>
      <c r="C45" s="409"/>
      <c r="D45" s="409"/>
      <c r="E45" s="410"/>
      <c r="F45" s="409"/>
      <c r="G45" s="407"/>
      <c r="H45" s="407"/>
    </row>
    <row r="46" spans="1:8" s="385" customFormat="1" ht="15">
      <c r="A46" s="409">
        <v>2</v>
      </c>
      <c r="B46" s="401" t="s">
        <v>573</v>
      </c>
      <c r="C46" s="409"/>
      <c r="D46" s="409"/>
      <c r="E46" s="410">
        <v>622105799</v>
      </c>
      <c r="F46" s="409"/>
      <c r="G46" s="407"/>
      <c r="H46" s="407"/>
    </row>
    <row r="47" spans="1:8" s="385" customFormat="1" ht="15">
      <c r="A47" s="409">
        <v>3</v>
      </c>
      <c r="B47" s="401" t="s">
        <v>574</v>
      </c>
      <c r="C47" s="409"/>
      <c r="D47" s="409"/>
      <c r="E47" s="410"/>
      <c r="F47" s="409"/>
      <c r="G47" s="407"/>
      <c r="H47" s="407"/>
    </row>
    <row r="48" spans="1:8" s="385" customFormat="1" ht="15">
      <c r="A48" s="409">
        <v>4</v>
      </c>
      <c r="B48" s="401" t="s">
        <v>575</v>
      </c>
      <c r="C48" s="409"/>
      <c r="D48" s="409"/>
      <c r="E48" s="410">
        <v>169688800</v>
      </c>
      <c r="F48" s="409"/>
      <c r="G48" s="407"/>
      <c r="H48" s="407"/>
    </row>
    <row r="49" spans="1:8" s="385" customFormat="1" ht="15">
      <c r="A49" s="409">
        <v>5</v>
      </c>
      <c r="B49" s="401" t="s">
        <v>576</v>
      </c>
      <c r="C49" s="409"/>
      <c r="D49" s="409"/>
      <c r="E49" s="410">
        <v>3329267488</v>
      </c>
      <c r="F49" s="409"/>
      <c r="G49" s="407"/>
      <c r="H49" s="407"/>
    </row>
    <row r="50" spans="1:8" s="385" customFormat="1" ht="15">
      <c r="A50" s="409">
        <v>6</v>
      </c>
      <c r="B50" s="401" t="s">
        <v>453</v>
      </c>
      <c r="C50" s="409"/>
      <c r="D50" s="409"/>
      <c r="E50" s="410">
        <v>1987922479</v>
      </c>
      <c r="F50" s="409"/>
      <c r="G50" s="407"/>
      <c r="H50" s="407"/>
    </row>
    <row r="51" spans="1:8" s="385" customFormat="1" ht="15">
      <c r="A51" s="402" t="s">
        <v>30</v>
      </c>
      <c r="B51" s="403" t="s">
        <v>577</v>
      </c>
      <c r="C51" s="409"/>
      <c r="D51" s="409"/>
      <c r="E51" s="409"/>
      <c r="F51" s="409"/>
      <c r="G51" s="407"/>
      <c r="H51" s="407"/>
    </row>
    <row r="52" spans="1:8" s="397" customFormat="1" ht="15.75">
      <c r="A52" s="402" t="s">
        <v>32</v>
      </c>
      <c r="B52" s="403" t="s">
        <v>595</v>
      </c>
      <c r="C52" s="402"/>
      <c r="D52" s="402"/>
      <c r="E52" s="412">
        <f>SUM(E53:E56)</f>
        <v>1831281300</v>
      </c>
      <c r="F52" s="412">
        <f>SUM(F53:F56)</f>
        <v>1831281300</v>
      </c>
      <c r="G52" s="402"/>
      <c r="H52" s="402"/>
    </row>
    <row r="53" spans="1:8" s="385" customFormat="1" ht="15">
      <c r="A53" s="409">
        <v>1</v>
      </c>
      <c r="B53" s="401" t="s">
        <v>630</v>
      </c>
      <c r="C53" s="409"/>
      <c r="D53" s="409"/>
      <c r="E53" s="410">
        <v>16907962</v>
      </c>
      <c r="F53" s="410">
        <v>16907962</v>
      </c>
      <c r="G53" s="409"/>
      <c r="H53" s="409"/>
    </row>
    <row r="54" spans="1:8" s="385" customFormat="1" ht="15">
      <c r="A54" s="409">
        <v>2</v>
      </c>
      <c r="B54" s="401" t="s">
        <v>596</v>
      </c>
      <c r="C54" s="409"/>
      <c r="D54" s="409"/>
      <c r="E54" s="410">
        <v>1119931890</v>
      </c>
      <c r="F54" s="410">
        <v>1119931890</v>
      </c>
      <c r="G54" s="409"/>
      <c r="H54" s="409"/>
    </row>
    <row r="55" spans="1:8" s="385" customFormat="1" ht="15">
      <c r="A55" s="409">
        <v>3</v>
      </c>
      <c r="B55" s="401" t="s">
        <v>597</v>
      </c>
      <c r="C55" s="409"/>
      <c r="D55" s="409"/>
      <c r="E55" s="410">
        <v>433847000</v>
      </c>
      <c r="F55" s="410">
        <v>433847000</v>
      </c>
      <c r="G55" s="409"/>
      <c r="H55" s="409"/>
    </row>
    <row r="56" spans="1:8" s="385" customFormat="1" ht="15">
      <c r="A56" s="409">
        <v>4</v>
      </c>
      <c r="B56" s="401" t="s">
        <v>598</v>
      </c>
      <c r="C56" s="409"/>
      <c r="D56" s="409"/>
      <c r="E56" s="410">
        <v>260594448</v>
      </c>
      <c r="F56" s="410">
        <v>260594448</v>
      </c>
      <c r="G56" s="409"/>
      <c r="H56" s="409"/>
    </row>
    <row r="57" spans="1:8" s="397" customFormat="1" ht="15.75">
      <c r="A57" s="402" t="s">
        <v>34</v>
      </c>
      <c r="B57" s="403" t="s">
        <v>527</v>
      </c>
      <c r="C57" s="412">
        <f>172800000000</f>
        <v>172800000000</v>
      </c>
      <c r="D57" s="412">
        <v>172800000000</v>
      </c>
      <c r="E57" s="412">
        <v>312679235500</v>
      </c>
      <c r="F57" s="412">
        <v>312679235500</v>
      </c>
      <c r="G57" s="405">
        <f>E57/C57*100</f>
        <v>180.94863165509258</v>
      </c>
      <c r="H57" s="405">
        <f>F57/D57*100</f>
        <v>180.94863165509258</v>
      </c>
    </row>
    <row r="58" spans="1:8" s="385" customFormat="1" ht="15">
      <c r="A58" s="402" t="s">
        <v>6</v>
      </c>
      <c r="B58" s="403" t="s">
        <v>578</v>
      </c>
      <c r="C58" s="409"/>
      <c r="D58" s="409"/>
      <c r="E58" s="409"/>
      <c r="F58" s="409"/>
      <c r="G58" s="407"/>
      <c r="H58" s="407"/>
    </row>
    <row r="59" spans="1:8" s="385" customFormat="1" ht="15">
      <c r="A59" s="402" t="s">
        <v>39</v>
      </c>
      <c r="B59" s="403" t="s">
        <v>579</v>
      </c>
      <c r="C59" s="409"/>
      <c r="D59" s="409"/>
      <c r="E59" s="412">
        <v>21669358753</v>
      </c>
      <c r="F59" s="412">
        <v>21669358753</v>
      </c>
      <c r="G59" s="407"/>
      <c r="H59" s="407"/>
    </row>
    <row r="60" spans="1:8" s="385" customFormat="1" ht="31.5" customHeight="1">
      <c r="A60" s="402" t="s">
        <v>196</v>
      </c>
      <c r="B60" s="403" t="s">
        <v>580</v>
      </c>
      <c r="C60" s="409"/>
      <c r="D60" s="409"/>
      <c r="E60" s="412">
        <v>77060073591</v>
      </c>
      <c r="F60" s="412">
        <v>77060073591</v>
      </c>
      <c r="G60" s="407"/>
      <c r="H60" s="407"/>
    </row>
    <row r="61" s="3" customFormat="1" ht="15.75" hidden="1">
      <c r="A61" s="382" t="s">
        <v>585</v>
      </c>
    </row>
    <row r="62" s="3" customFormat="1" ht="15.75" hidden="1">
      <c r="A62" s="383" t="s">
        <v>586</v>
      </c>
    </row>
    <row r="63" s="3" customFormat="1" ht="15.75" hidden="1">
      <c r="A63" s="383" t="s">
        <v>587</v>
      </c>
    </row>
    <row r="64" s="3" customFormat="1" ht="15.75" hidden="1">
      <c r="A64" s="383" t="s">
        <v>588</v>
      </c>
    </row>
    <row r="65" s="3" customFormat="1" ht="15.75" hidden="1">
      <c r="A65" s="383" t="s">
        <v>589</v>
      </c>
    </row>
    <row r="66" s="3" customFormat="1" ht="15.75" hidden="1">
      <c r="A66" s="383" t="s">
        <v>590</v>
      </c>
    </row>
  </sheetData>
  <sheetProtection/>
  <mergeCells count="23">
    <mergeCell ref="E35:E36"/>
    <mergeCell ref="C1:H1"/>
    <mergeCell ref="C2:H2"/>
    <mergeCell ref="C3:H3"/>
    <mergeCell ref="A5:H5"/>
    <mergeCell ref="A8:H8"/>
    <mergeCell ref="A7:H7"/>
    <mergeCell ref="C35:C36"/>
    <mergeCell ref="G9:H9"/>
    <mergeCell ref="A2:B2"/>
    <mergeCell ref="F35:F36"/>
    <mergeCell ref="G10:H10"/>
    <mergeCell ref="G35:G36"/>
    <mergeCell ref="D35:D36"/>
    <mergeCell ref="A6:H6"/>
    <mergeCell ref="H35:H36"/>
    <mergeCell ref="A10:A11"/>
    <mergeCell ref="A35:A36"/>
    <mergeCell ref="E10:F10"/>
    <mergeCell ref="A3:B3"/>
    <mergeCell ref="A1:B1"/>
    <mergeCell ref="B10:B11"/>
    <mergeCell ref="C10:D10"/>
  </mergeCells>
  <printOptions/>
  <pageMargins left="0.35433070866141736" right="0.2362204724409449" top="0.5905511811023623" bottom="0.2755905511811024" header="0.31496062992125984" footer="0.1968503937007874"/>
  <pageSetup horizontalDpi="600" verticalDpi="600" orientation="landscape" paperSize="9" scale="95" r:id="rId1"/>
  <headerFooter>
    <oddFooter>&amp;C&amp;P</oddFooter>
  </headerFooter>
</worksheet>
</file>

<file path=xl/worksheets/sheet4.xml><?xml version="1.0" encoding="utf-8"?>
<worksheet xmlns="http://schemas.openxmlformats.org/spreadsheetml/2006/main" xmlns:r="http://schemas.openxmlformats.org/officeDocument/2006/relationships">
  <sheetPr>
    <tabColor rgb="FF00B0F0"/>
  </sheetPr>
  <dimension ref="A1:F59"/>
  <sheetViews>
    <sheetView tabSelected="1" workbookViewId="0" topLeftCell="A1">
      <selection activeCell="D12" sqref="D12"/>
    </sheetView>
  </sheetViews>
  <sheetFormatPr defaultColWidth="8.796875" defaultRowHeight="15"/>
  <cols>
    <col min="1" max="1" width="5.59765625" style="0" customWidth="1"/>
    <col min="2" max="2" width="42.19921875" style="0" customWidth="1"/>
    <col min="3" max="3" width="16.19921875" style="0" customWidth="1"/>
    <col min="4" max="4" width="15.59765625" style="0" customWidth="1"/>
    <col min="5" max="5" width="8.59765625" style="0" customWidth="1"/>
  </cols>
  <sheetData>
    <row r="1" spans="1:6" ht="16.5">
      <c r="A1" s="811" t="s">
        <v>814</v>
      </c>
      <c r="B1" s="811"/>
      <c r="C1" s="811"/>
      <c r="D1" s="811"/>
      <c r="E1" s="811"/>
      <c r="F1" s="826"/>
    </row>
    <row r="2" spans="1:6" ht="16.5">
      <c r="A2" s="828" t="s">
        <v>805</v>
      </c>
      <c r="B2" s="828"/>
      <c r="C2" s="828"/>
      <c r="D2" s="828"/>
      <c r="E2" s="828"/>
      <c r="F2" s="827"/>
    </row>
    <row r="3" spans="1:6" ht="15.75">
      <c r="A3" s="830" t="s">
        <v>815</v>
      </c>
      <c r="B3" s="830"/>
      <c r="C3" s="830"/>
      <c r="D3" s="830"/>
      <c r="E3" s="830"/>
      <c r="F3" s="9"/>
    </row>
    <row r="4" spans="1:6" ht="15.75">
      <c r="A4" s="806"/>
      <c r="B4" s="473"/>
      <c r="C4" s="806"/>
      <c r="D4" s="473"/>
      <c r="E4" s="473"/>
      <c r="F4" s="473"/>
    </row>
    <row r="5" spans="1:6" ht="18.75">
      <c r="A5" s="727" t="s">
        <v>816</v>
      </c>
      <c r="B5" s="727"/>
      <c r="C5" s="727"/>
      <c r="D5" s="727"/>
      <c r="E5" s="727"/>
      <c r="F5" s="829"/>
    </row>
    <row r="6" spans="1:5" s="385" customFormat="1" ht="21.75" customHeight="1">
      <c r="A6" s="813" t="s">
        <v>500</v>
      </c>
      <c r="B6" s="813"/>
      <c r="C6" s="813"/>
      <c r="D6" s="813"/>
      <c r="E6" s="813"/>
    </row>
    <row r="7" spans="1:5" s="385" customFormat="1" ht="20.25" customHeight="1">
      <c r="A7" s="814" t="s">
        <v>800</v>
      </c>
      <c r="B7" s="814"/>
      <c r="C7" s="814"/>
      <c r="D7" s="814"/>
      <c r="E7" s="814"/>
    </row>
    <row r="8" spans="1:5" s="385" customFormat="1" ht="20.25" customHeight="1">
      <c r="A8" s="808" t="s">
        <v>802</v>
      </c>
      <c r="B8" s="696"/>
      <c r="C8" s="696"/>
      <c r="D8" s="696"/>
      <c r="E8" s="696"/>
    </row>
    <row r="9" spans="1:5" ht="19.5" customHeight="1">
      <c r="A9" s="381"/>
      <c r="D9" s="705" t="s">
        <v>0</v>
      </c>
      <c r="E9" s="705"/>
    </row>
    <row r="10" spans="1:5" s="385" customFormat="1" ht="40.5" customHeight="1">
      <c r="A10" s="378" t="s">
        <v>132</v>
      </c>
      <c r="B10" s="378" t="s">
        <v>492</v>
      </c>
      <c r="C10" s="378" t="s">
        <v>81</v>
      </c>
      <c r="D10" s="378" t="s">
        <v>3</v>
      </c>
      <c r="E10" s="378" t="s">
        <v>4</v>
      </c>
    </row>
    <row r="11" spans="1:5" s="385" customFormat="1" ht="24" customHeight="1">
      <c r="A11" s="378" t="s">
        <v>5</v>
      </c>
      <c r="B11" s="378" t="s">
        <v>6</v>
      </c>
      <c r="C11" s="378">
        <v>1</v>
      </c>
      <c r="D11" s="378">
        <v>2</v>
      </c>
      <c r="E11" s="378" t="s">
        <v>149</v>
      </c>
    </row>
    <row r="12" spans="1:5" s="397" customFormat="1" ht="21" customHeight="1">
      <c r="A12" s="413"/>
      <c r="B12" s="379" t="s">
        <v>493</v>
      </c>
      <c r="C12" s="446">
        <f>C13+C52+C57+C58</f>
        <v>448669000000</v>
      </c>
      <c r="D12" s="446">
        <f>D13+D52+D57+D58</f>
        <v>600255026426</v>
      </c>
      <c r="E12" s="495">
        <f>D12/C12*100</f>
        <v>133.78571428514115</v>
      </c>
    </row>
    <row r="13" spans="1:5" s="385" customFormat="1" ht="33" customHeight="1">
      <c r="A13" s="378" t="s">
        <v>5</v>
      </c>
      <c r="B13" s="379" t="s">
        <v>494</v>
      </c>
      <c r="C13" s="446">
        <f>C14+C32+C46+C47+C48+C49+C50+C51+C58</f>
        <v>448669000000</v>
      </c>
      <c r="D13" s="446">
        <f>D14+D32+D46+D47+D48+D49+D50+D51</f>
        <v>558552640923</v>
      </c>
      <c r="E13" s="495">
        <f aca="true" t="shared" si="0" ref="E13:E49">D13/C13*100</f>
        <v>124.49102588389214</v>
      </c>
    </row>
    <row r="14" spans="1:5" s="440" customFormat="1" ht="15.75">
      <c r="A14" s="374" t="s">
        <v>14</v>
      </c>
      <c r="B14" s="375" t="s">
        <v>68</v>
      </c>
      <c r="C14" s="443">
        <f>C15+C31+C30</f>
        <v>130401000000</v>
      </c>
      <c r="D14" s="443">
        <f>D15+D31+D30</f>
        <v>127400995000</v>
      </c>
      <c r="E14" s="495">
        <f t="shared" si="0"/>
        <v>97.6994003113473</v>
      </c>
    </row>
    <row r="15" spans="1:5" ht="15.75">
      <c r="A15" s="376">
        <v>1</v>
      </c>
      <c r="B15" s="377" t="s">
        <v>495</v>
      </c>
      <c r="C15" s="441">
        <f>SUM(C16:C26)</f>
        <v>123800000000</v>
      </c>
      <c r="D15" s="441">
        <f>SUM(D16:D26)</f>
        <v>122247850000</v>
      </c>
      <c r="E15" s="496">
        <f t="shared" si="0"/>
        <v>98.74624394184168</v>
      </c>
    </row>
    <row r="16" spans="1:5" s="440" customFormat="1" ht="15.75">
      <c r="A16" s="374"/>
      <c r="B16" s="439" t="s">
        <v>17</v>
      </c>
      <c r="C16" s="443"/>
      <c r="D16" s="375"/>
      <c r="E16" s="495"/>
    </row>
    <row r="17" spans="1:5" ht="15.75">
      <c r="A17" s="117" t="s">
        <v>18</v>
      </c>
      <c r="B17" s="108" t="s">
        <v>185</v>
      </c>
      <c r="C17" s="441">
        <v>1500000000</v>
      </c>
      <c r="D17" s="441">
        <f>1481579000</f>
        <v>1481579000</v>
      </c>
      <c r="E17" s="496">
        <f t="shared" si="0"/>
        <v>98.77193333333332</v>
      </c>
    </row>
    <row r="18" spans="1:5" ht="15.75">
      <c r="A18" s="117" t="s">
        <v>18</v>
      </c>
      <c r="B18" s="108" t="s">
        <v>83</v>
      </c>
      <c r="C18" s="441">
        <v>1450000000</v>
      </c>
      <c r="D18" s="441">
        <f>1257746000</f>
        <v>1257746000</v>
      </c>
      <c r="E18" s="496">
        <f t="shared" si="0"/>
        <v>86.74110344827585</v>
      </c>
    </row>
    <row r="19" spans="1:5" ht="15.75">
      <c r="A19" s="117" t="s">
        <v>18</v>
      </c>
      <c r="B19" s="108" t="s">
        <v>19</v>
      </c>
      <c r="C19" s="441">
        <v>13013000000</v>
      </c>
      <c r="D19" s="441">
        <f>9910065000</f>
        <v>9910065000</v>
      </c>
      <c r="E19" s="496">
        <f t="shared" si="0"/>
        <v>76.15511411665258</v>
      </c>
    </row>
    <row r="20" spans="1:5" ht="15.75">
      <c r="A20" s="117" t="s">
        <v>18</v>
      </c>
      <c r="B20" s="108" t="s">
        <v>593</v>
      </c>
      <c r="C20" s="441">
        <v>168000000</v>
      </c>
      <c r="D20" s="441">
        <v>0</v>
      </c>
      <c r="E20" s="496">
        <f t="shared" si="0"/>
        <v>0</v>
      </c>
    </row>
    <row r="21" spans="1:5" ht="15.75">
      <c r="A21" s="117" t="s">
        <v>18</v>
      </c>
      <c r="B21" s="108" t="s">
        <v>191</v>
      </c>
      <c r="C21" s="441">
        <v>1630000000</v>
      </c>
      <c r="D21" s="441">
        <f>843.971*1000000</f>
        <v>843971000</v>
      </c>
      <c r="E21" s="496">
        <f t="shared" si="0"/>
        <v>51.77736196319018</v>
      </c>
    </row>
    <row r="22" spans="1:5" ht="31.5">
      <c r="A22" s="122" t="s">
        <v>18</v>
      </c>
      <c r="B22" s="129" t="s">
        <v>193</v>
      </c>
      <c r="C22" s="444">
        <v>886000000</v>
      </c>
      <c r="D22" s="444">
        <f>1918735000</f>
        <v>1918735000</v>
      </c>
      <c r="E22" s="496">
        <f t="shared" si="0"/>
        <v>216.56151241534988</v>
      </c>
    </row>
    <row r="23" spans="1:5" ht="15.75">
      <c r="A23" s="122" t="s">
        <v>18</v>
      </c>
      <c r="B23" s="130" t="s">
        <v>89</v>
      </c>
      <c r="C23" s="441">
        <v>85205000000</v>
      </c>
      <c r="D23" s="441">
        <f>95383823000</f>
        <v>95383823000</v>
      </c>
      <c r="E23" s="496">
        <f t="shared" si="0"/>
        <v>111.94627427967842</v>
      </c>
    </row>
    <row r="24" spans="1:5" ht="15.75">
      <c r="A24" s="122" t="s">
        <v>18</v>
      </c>
      <c r="B24" s="129" t="s">
        <v>194</v>
      </c>
      <c r="C24" s="441">
        <v>4534000000</v>
      </c>
      <c r="D24" s="441">
        <f>11451.931*1000000</f>
        <v>11451931000</v>
      </c>
      <c r="E24" s="496">
        <f t="shared" si="0"/>
        <v>252.57898103220114</v>
      </c>
    </row>
    <row r="25" spans="1:5" ht="15.75">
      <c r="A25" s="117" t="s">
        <v>18</v>
      </c>
      <c r="B25" s="108" t="s">
        <v>241</v>
      </c>
      <c r="C25" s="441">
        <v>1800000000</v>
      </c>
      <c r="D25" s="441"/>
      <c r="E25" s="495">
        <f t="shared" si="0"/>
        <v>0</v>
      </c>
    </row>
    <row r="26" spans="1:5" ht="15.75">
      <c r="A26" s="117" t="s">
        <v>18</v>
      </c>
      <c r="B26" s="108" t="s">
        <v>592</v>
      </c>
      <c r="C26" s="441">
        <v>13614000000</v>
      </c>
      <c r="D26" s="441"/>
      <c r="E26" s="495">
        <f t="shared" si="0"/>
        <v>0</v>
      </c>
    </row>
    <row r="27" spans="1:5" s="440" customFormat="1" ht="15.75" hidden="1">
      <c r="A27" s="109"/>
      <c r="B27" s="442" t="s">
        <v>21</v>
      </c>
      <c r="C27" s="443"/>
      <c r="D27" s="443"/>
      <c r="E27" s="495" t="e">
        <f t="shared" si="0"/>
        <v>#DIV/0!</v>
      </c>
    </row>
    <row r="28" spans="1:5" ht="15.75" hidden="1">
      <c r="A28" s="117" t="s">
        <v>18</v>
      </c>
      <c r="B28" s="108" t="s">
        <v>184</v>
      </c>
      <c r="C28" s="441">
        <v>63800</v>
      </c>
      <c r="D28" s="441"/>
      <c r="E28" s="495">
        <f t="shared" si="0"/>
        <v>0</v>
      </c>
    </row>
    <row r="29" spans="1:5" ht="15.75" hidden="1">
      <c r="A29" s="117" t="s">
        <v>18</v>
      </c>
      <c r="B29" s="108" t="s">
        <v>22</v>
      </c>
      <c r="C29" s="441">
        <v>45000</v>
      </c>
      <c r="D29" s="441"/>
      <c r="E29" s="495">
        <f t="shared" si="0"/>
        <v>0</v>
      </c>
    </row>
    <row r="30" spans="1:5" s="385" customFormat="1" ht="63">
      <c r="A30" s="380">
        <v>2</v>
      </c>
      <c r="B30" s="129" t="s">
        <v>23</v>
      </c>
      <c r="C30" s="129"/>
      <c r="D30" s="129"/>
      <c r="E30" s="495"/>
    </row>
    <row r="31" spans="1:5" ht="15.75">
      <c r="A31" s="376">
        <v>3</v>
      </c>
      <c r="B31" s="377" t="s">
        <v>24</v>
      </c>
      <c r="C31" s="441">
        <v>6601000000</v>
      </c>
      <c r="D31" s="441">
        <f>5153.145*1000000</f>
        <v>5153145000</v>
      </c>
      <c r="E31" s="496">
        <f t="shared" si="0"/>
        <v>78.06612634449326</v>
      </c>
    </row>
    <row r="32" spans="1:5" s="440" customFormat="1" ht="15.75">
      <c r="A32" s="374" t="s">
        <v>25</v>
      </c>
      <c r="B32" s="375" t="s">
        <v>26</v>
      </c>
      <c r="C32" s="443">
        <f>SUM(C33:C45)</f>
        <v>310533000000</v>
      </c>
      <c r="D32" s="443">
        <f>SUM(D33:D45)</f>
        <v>352478260109</v>
      </c>
      <c r="E32" s="495">
        <f t="shared" si="0"/>
        <v>113.50750487355612</v>
      </c>
    </row>
    <row r="33" spans="1:5" ht="15.75">
      <c r="A33" s="376"/>
      <c r="B33" s="384" t="s">
        <v>27</v>
      </c>
      <c r="C33" s="377"/>
      <c r="D33" s="377"/>
      <c r="E33" s="495"/>
    </row>
    <row r="34" spans="1:5" ht="15.75">
      <c r="A34" s="107">
        <v>1</v>
      </c>
      <c r="B34" s="129" t="s">
        <v>185</v>
      </c>
      <c r="C34" s="441">
        <v>7968000000</v>
      </c>
      <c r="D34" s="441">
        <f>8433.68608*1000000</f>
        <v>8433686079.999999</v>
      </c>
      <c r="E34" s="496">
        <f t="shared" si="0"/>
        <v>105.84445381526105</v>
      </c>
    </row>
    <row r="35" spans="1:5" ht="15.75">
      <c r="A35" s="107">
        <v>2</v>
      </c>
      <c r="B35" s="129" t="s">
        <v>83</v>
      </c>
      <c r="C35" s="441">
        <v>5743000000</v>
      </c>
      <c r="D35" s="441">
        <f>5767.672419*1000000</f>
        <v>5767672419</v>
      </c>
      <c r="E35" s="496">
        <f t="shared" si="0"/>
        <v>100.42960854953857</v>
      </c>
    </row>
    <row r="36" spans="1:5" ht="15.75">
      <c r="A36" s="107">
        <v>3</v>
      </c>
      <c r="B36" s="129" t="s">
        <v>186</v>
      </c>
      <c r="C36" s="441">
        <v>135636000000</v>
      </c>
      <c r="D36" s="441">
        <f>136241.590152*1000000</f>
        <v>136241590151.99998</v>
      </c>
      <c r="E36" s="496">
        <f t="shared" si="0"/>
        <v>100.44648187206934</v>
      </c>
    </row>
    <row r="37" spans="1:5" ht="15.75">
      <c r="A37" s="107">
        <v>4</v>
      </c>
      <c r="B37" s="130" t="s">
        <v>187</v>
      </c>
      <c r="C37" s="441"/>
      <c r="D37" s="441">
        <f>114.644*1000000</f>
        <v>114644000</v>
      </c>
      <c r="E37" s="495"/>
    </row>
    <row r="38" spans="1:5" ht="15.75">
      <c r="A38" s="107">
        <v>5</v>
      </c>
      <c r="B38" s="129" t="s">
        <v>188</v>
      </c>
      <c r="C38" s="441"/>
      <c r="D38" s="441"/>
      <c r="E38" s="495"/>
    </row>
    <row r="39" spans="1:5" ht="15.75">
      <c r="A39" s="107">
        <v>6</v>
      </c>
      <c r="B39" s="129" t="s">
        <v>189</v>
      </c>
      <c r="C39" s="441">
        <v>5179000000</v>
      </c>
      <c r="D39" s="441">
        <f>8410.971825*1000000</f>
        <v>8410971825.000001</v>
      </c>
      <c r="E39" s="496">
        <f t="shared" si="0"/>
        <v>162.40532583510333</v>
      </c>
    </row>
    <row r="40" spans="1:5" ht="15.75">
      <c r="A40" s="107">
        <v>7</v>
      </c>
      <c r="B40" s="129" t="s">
        <v>190</v>
      </c>
      <c r="C40" s="441">
        <v>2469000000</v>
      </c>
      <c r="D40" s="441">
        <f>1240.707842*1000000</f>
        <v>1240707842</v>
      </c>
      <c r="E40" s="496">
        <f t="shared" si="0"/>
        <v>50.25143142972863</v>
      </c>
    </row>
    <row r="41" spans="1:5" ht="15.75">
      <c r="A41" s="107">
        <v>8</v>
      </c>
      <c r="B41" s="129" t="s">
        <v>191</v>
      </c>
      <c r="C41" s="441">
        <v>8627000000</v>
      </c>
      <c r="D41" s="441">
        <f>9586.2074*1000000</f>
        <v>9586207400</v>
      </c>
      <c r="E41" s="496">
        <f t="shared" si="0"/>
        <v>111.11866697577372</v>
      </c>
    </row>
    <row r="42" spans="1:5" ht="15.75">
      <c r="A42" s="107">
        <v>9</v>
      </c>
      <c r="B42" s="130" t="s">
        <v>89</v>
      </c>
      <c r="C42" s="441">
        <v>57234000000</v>
      </c>
      <c r="D42" s="441">
        <f>86879.558874*1000000</f>
        <v>86879558874</v>
      </c>
      <c r="E42" s="496">
        <f t="shared" si="0"/>
        <v>151.79711163643987</v>
      </c>
    </row>
    <row r="43" spans="1:5" s="385" customFormat="1" ht="31.5">
      <c r="A43" s="118">
        <v>10</v>
      </c>
      <c r="B43" s="129" t="s">
        <v>193</v>
      </c>
      <c r="C43" s="444">
        <v>64762000000</v>
      </c>
      <c r="D43" s="444">
        <f>67051.261791*1000000</f>
        <v>67051261791</v>
      </c>
      <c r="E43" s="496">
        <f t="shared" si="0"/>
        <v>103.53488433186129</v>
      </c>
    </row>
    <row r="44" spans="1:5" ht="15.75">
      <c r="A44" s="107">
        <v>11</v>
      </c>
      <c r="B44" s="129" t="s">
        <v>194</v>
      </c>
      <c r="C44" s="441">
        <v>19889000000</v>
      </c>
      <c r="D44" s="441">
        <f>22155.902754*1000000</f>
        <v>22155902754</v>
      </c>
      <c r="E44" s="496">
        <f t="shared" si="0"/>
        <v>111.39777140127708</v>
      </c>
    </row>
    <row r="45" spans="1:5" ht="15.75">
      <c r="A45" s="107">
        <v>12</v>
      </c>
      <c r="B45" s="129" t="s">
        <v>195</v>
      </c>
      <c r="C45" s="441">
        <v>3026000000</v>
      </c>
      <c r="D45" s="441">
        <f>6596.056972*1000000</f>
        <v>6596056972</v>
      </c>
      <c r="E45" s="496">
        <f t="shared" si="0"/>
        <v>217.97941083939193</v>
      </c>
    </row>
    <row r="46" spans="1:5" s="385" customFormat="1" ht="31.5">
      <c r="A46" s="378" t="s">
        <v>28</v>
      </c>
      <c r="B46" s="379" t="s">
        <v>29</v>
      </c>
      <c r="C46" s="129"/>
      <c r="D46" s="129"/>
      <c r="E46" s="495"/>
    </row>
    <row r="47" spans="1:5" s="385" customFormat="1" ht="20.25" customHeight="1">
      <c r="A47" s="413" t="s">
        <v>30</v>
      </c>
      <c r="B47" s="379" t="s">
        <v>496</v>
      </c>
      <c r="C47" s="129"/>
      <c r="D47" s="129"/>
      <c r="E47" s="495"/>
    </row>
    <row r="48" spans="1:5" s="385" customFormat="1" ht="20.25" customHeight="1">
      <c r="A48" s="413" t="s">
        <v>32</v>
      </c>
      <c r="B48" s="379" t="s">
        <v>33</v>
      </c>
      <c r="C48" s="445">
        <v>7560000000</v>
      </c>
      <c r="D48" s="129"/>
      <c r="E48" s="495">
        <f t="shared" si="0"/>
        <v>0</v>
      </c>
    </row>
    <row r="49" spans="1:5" s="385" customFormat="1" ht="20.25" customHeight="1">
      <c r="A49" s="413" t="s">
        <v>34</v>
      </c>
      <c r="B49" s="379" t="s">
        <v>35</v>
      </c>
      <c r="C49" s="445">
        <v>175000000</v>
      </c>
      <c r="D49" s="129"/>
      <c r="E49" s="495">
        <f t="shared" si="0"/>
        <v>0</v>
      </c>
    </row>
    <row r="50" spans="1:5" s="385" customFormat="1" ht="20.25" customHeight="1">
      <c r="A50" s="413" t="s">
        <v>77</v>
      </c>
      <c r="B50" s="379" t="s">
        <v>606</v>
      </c>
      <c r="C50" s="445"/>
      <c r="D50" s="445">
        <f>68244707000</f>
        <v>68244707000</v>
      </c>
      <c r="E50" s="495"/>
    </row>
    <row r="51" spans="1:5" s="385" customFormat="1" ht="20.25" customHeight="1">
      <c r="A51" s="413" t="s">
        <v>607</v>
      </c>
      <c r="B51" s="379" t="s">
        <v>604</v>
      </c>
      <c r="C51" s="445"/>
      <c r="D51" s="445">
        <f>10428.678814*1000000</f>
        <v>10428678814</v>
      </c>
      <c r="E51" s="495"/>
    </row>
    <row r="52" spans="1:5" s="385" customFormat="1" ht="18.75" customHeight="1">
      <c r="A52" s="378" t="s">
        <v>6</v>
      </c>
      <c r="B52" s="379" t="s">
        <v>36</v>
      </c>
      <c r="C52" s="129"/>
      <c r="D52" s="129"/>
      <c r="E52" s="495"/>
    </row>
    <row r="53" spans="1:5" s="385" customFormat="1" ht="17.25" customHeight="1">
      <c r="A53" s="378" t="s">
        <v>14</v>
      </c>
      <c r="B53" s="379" t="s">
        <v>37</v>
      </c>
      <c r="C53" s="129"/>
      <c r="D53" s="129"/>
      <c r="E53" s="495"/>
    </row>
    <row r="54" spans="1:5" s="385" customFormat="1" ht="15.75">
      <c r="A54" s="380"/>
      <c r="B54" s="129" t="s">
        <v>497</v>
      </c>
      <c r="C54" s="129"/>
      <c r="D54" s="129"/>
      <c r="E54" s="495"/>
    </row>
    <row r="55" spans="1:5" s="385" customFormat="1" ht="15.75">
      <c r="A55" s="378" t="s">
        <v>25</v>
      </c>
      <c r="B55" s="379" t="s">
        <v>498</v>
      </c>
      <c r="C55" s="129"/>
      <c r="D55" s="129"/>
      <c r="E55" s="495"/>
    </row>
    <row r="56" spans="1:5" s="385" customFormat="1" ht="15.75">
      <c r="A56" s="380"/>
      <c r="B56" s="129" t="s">
        <v>499</v>
      </c>
      <c r="C56" s="129"/>
      <c r="D56" s="129"/>
      <c r="E56" s="495"/>
    </row>
    <row r="57" spans="1:5" s="494" customFormat="1" ht="20.25" customHeight="1">
      <c r="A57" s="453" t="s">
        <v>39</v>
      </c>
      <c r="B57" s="487" t="s">
        <v>491</v>
      </c>
      <c r="C57" s="419"/>
      <c r="D57" s="493">
        <f>39871104203</f>
        <v>39871104203</v>
      </c>
      <c r="E57" s="495"/>
    </row>
    <row r="58" spans="1:5" s="397" customFormat="1" ht="20.25" customHeight="1">
      <c r="A58" s="413" t="s">
        <v>196</v>
      </c>
      <c r="B58" s="379" t="s">
        <v>605</v>
      </c>
      <c r="C58" s="445"/>
      <c r="D58" s="445">
        <f>1831.2813*1000000</f>
        <v>1831281300</v>
      </c>
      <c r="E58" s="495"/>
    </row>
    <row r="59" spans="1:5" ht="36.75" customHeight="1" hidden="1">
      <c r="A59" s="704" t="s">
        <v>501</v>
      </c>
      <c r="B59" s="704"/>
      <c r="C59" s="704"/>
      <c r="D59" s="704"/>
      <c r="E59" s="704"/>
    </row>
  </sheetData>
  <sheetProtection/>
  <mergeCells count="9">
    <mergeCell ref="A1:E1"/>
    <mergeCell ref="A2:E2"/>
    <mergeCell ref="A5:E5"/>
    <mergeCell ref="A3:E3"/>
    <mergeCell ref="A59:E59"/>
    <mergeCell ref="A6:E6"/>
    <mergeCell ref="A7:E7"/>
    <mergeCell ref="D9:E9"/>
    <mergeCell ref="A8:E8"/>
  </mergeCells>
  <printOptions/>
  <pageMargins left="0.7086614173228347" right="0.4330708661417323" top="0.5905511811023623" bottom="0.5511811023622047" header="0.31496062992125984" footer="0.31496062992125984"/>
  <pageSetup horizontalDpi="600" verticalDpi="600" orientation="portrait" paperSize="9" scale="95" r:id="rId1"/>
  <headerFooter>
    <oddFooter>&amp;C&amp;P</oddFooter>
  </headerFooter>
</worksheet>
</file>

<file path=xl/worksheets/sheet5.xml><?xml version="1.0" encoding="utf-8"?>
<worksheet xmlns="http://schemas.openxmlformats.org/spreadsheetml/2006/main" xmlns:r="http://schemas.openxmlformats.org/officeDocument/2006/relationships">
  <sheetPr>
    <tabColor rgb="FF00B0F0"/>
  </sheetPr>
  <dimension ref="A1:H51"/>
  <sheetViews>
    <sheetView zoomScale="115" zoomScaleNormal="115" workbookViewId="0" topLeftCell="A10">
      <selection activeCell="B28" sqref="B28"/>
    </sheetView>
  </sheetViews>
  <sheetFormatPr defaultColWidth="8.796875" defaultRowHeight="15"/>
  <cols>
    <col min="1" max="1" width="5.69921875" style="3" customWidth="1"/>
    <col min="2" max="2" width="38.8984375" style="3" customWidth="1"/>
    <col min="3" max="4" width="15.5" style="3" bestFit="1" customWidth="1"/>
    <col min="5" max="5" width="14.5" style="3" customWidth="1"/>
    <col min="6" max="6" width="8.19921875" style="3" customWidth="1"/>
    <col min="7" max="16384" width="9" style="3" customWidth="1"/>
  </cols>
  <sheetData>
    <row r="1" spans="1:8" ht="15.75" customHeight="1">
      <c r="A1" s="816" t="s">
        <v>817</v>
      </c>
      <c r="B1" s="816"/>
      <c r="C1" s="832" t="s">
        <v>809</v>
      </c>
      <c r="D1" s="832"/>
      <c r="E1" s="832"/>
      <c r="F1" s="832"/>
      <c r="G1" s="835"/>
      <c r="H1" s="835"/>
    </row>
    <row r="2" spans="1:8" ht="15.75" customHeight="1">
      <c r="A2" s="817" t="s">
        <v>818</v>
      </c>
      <c r="B2" s="817"/>
      <c r="C2" s="834" t="s">
        <v>810</v>
      </c>
      <c r="D2" s="834"/>
      <c r="E2" s="834"/>
      <c r="F2" s="834"/>
      <c r="G2" s="836"/>
      <c r="H2" s="836"/>
    </row>
    <row r="3" spans="1:6" ht="15.75">
      <c r="A3" s="830" t="s">
        <v>819</v>
      </c>
      <c r="B3" s="837"/>
      <c r="C3" s="838" t="s">
        <v>821</v>
      </c>
      <c r="D3" s="698"/>
      <c r="E3" s="698"/>
      <c r="F3" s="698"/>
    </row>
    <row r="4" spans="1:6" ht="2.25" customHeight="1">
      <c r="A4" s="839"/>
      <c r="B4" s="840"/>
      <c r="C4" s="841"/>
      <c r="D4" s="474"/>
      <c r="E4" s="474"/>
      <c r="F4" s="474"/>
    </row>
    <row r="5" spans="1:6" ht="15.75">
      <c r="A5" s="709" t="s">
        <v>822</v>
      </c>
      <c r="B5" s="709"/>
      <c r="C5" s="709"/>
      <c r="D5" s="709"/>
      <c r="E5" s="709"/>
      <c r="F5" s="709"/>
    </row>
    <row r="6" spans="1:8" s="125" customFormat="1" ht="15.75">
      <c r="A6" s="696" t="s">
        <v>627</v>
      </c>
      <c r="B6" s="696"/>
      <c r="C6" s="696"/>
      <c r="D6" s="696"/>
      <c r="E6" s="696"/>
      <c r="F6" s="696"/>
      <c r="G6" s="706"/>
      <c r="H6" s="706"/>
    </row>
    <row r="7" spans="1:6" s="125" customFormat="1" ht="15.75">
      <c r="A7" s="807" t="s">
        <v>800</v>
      </c>
      <c r="B7" s="807"/>
      <c r="C7" s="807"/>
      <c r="D7" s="807"/>
      <c r="E7" s="807"/>
      <c r="F7" s="807"/>
    </row>
    <row r="8" spans="1:6" s="125" customFormat="1" ht="18.75">
      <c r="A8" s="842" t="s">
        <v>803</v>
      </c>
      <c r="B8" s="814"/>
      <c r="C8" s="814"/>
      <c r="D8" s="814"/>
      <c r="E8" s="814"/>
      <c r="F8" s="814"/>
    </row>
    <row r="9" spans="5:6" ht="15.75">
      <c r="E9" s="697" t="s">
        <v>626</v>
      </c>
      <c r="F9" s="697"/>
    </row>
    <row r="10" spans="1:6" s="125" customFormat="1" ht="21.75" customHeight="1">
      <c r="A10" s="695" t="s">
        <v>132</v>
      </c>
      <c r="B10" s="695" t="s">
        <v>148</v>
      </c>
      <c r="C10" s="695" t="s">
        <v>81</v>
      </c>
      <c r="D10" s="695" t="s">
        <v>3</v>
      </c>
      <c r="E10" s="695" t="s">
        <v>482</v>
      </c>
      <c r="F10" s="695"/>
    </row>
    <row r="11" spans="1:6" s="125" customFormat="1" ht="31.5">
      <c r="A11" s="695"/>
      <c r="B11" s="695"/>
      <c r="C11" s="695"/>
      <c r="D11" s="695"/>
      <c r="E11" s="378" t="s">
        <v>483</v>
      </c>
      <c r="F11" s="378" t="s">
        <v>484</v>
      </c>
    </row>
    <row r="12" spans="1:6" ht="15.75">
      <c r="A12" s="374" t="s">
        <v>5</v>
      </c>
      <c r="B12" s="374" t="s">
        <v>6</v>
      </c>
      <c r="C12" s="374">
        <v>1</v>
      </c>
      <c r="D12" s="374">
        <v>2</v>
      </c>
      <c r="E12" s="374" t="s">
        <v>485</v>
      </c>
      <c r="F12" s="374" t="s">
        <v>486</v>
      </c>
    </row>
    <row r="13" spans="1:6" s="9" customFormat="1" ht="21" customHeight="1">
      <c r="A13" s="413"/>
      <c r="B13" s="413" t="s">
        <v>12</v>
      </c>
      <c r="C13" s="430">
        <f>C14+C15+C48</f>
        <v>439920000000</v>
      </c>
      <c r="D13" s="430">
        <f>D14+D15+D48+D49</f>
        <v>519770215270</v>
      </c>
      <c r="E13" s="430">
        <f>D13-C13</f>
        <v>79850215270</v>
      </c>
      <c r="F13" s="424">
        <f>D13/C13*100</f>
        <v>118.15107639343516</v>
      </c>
    </row>
    <row r="14" spans="1:6" s="125" customFormat="1" ht="31.5">
      <c r="A14" s="378" t="s">
        <v>5</v>
      </c>
      <c r="B14" s="379" t="s">
        <v>487</v>
      </c>
      <c r="C14" s="417">
        <v>44800000000</v>
      </c>
      <c r="D14" s="417">
        <f>68244.707*1000000</f>
        <v>68244706999.99999</v>
      </c>
      <c r="E14" s="430">
        <f aca="true" t="shared" si="0" ref="E14:E49">D14-C14</f>
        <v>23444706999.999992</v>
      </c>
      <c r="F14" s="424">
        <f aca="true" t="shared" si="1" ref="F14:F46">D14/C14*100</f>
        <v>152.33193526785712</v>
      </c>
    </row>
    <row r="15" spans="1:6" s="9" customFormat="1" ht="31.5">
      <c r="A15" s="413" t="s">
        <v>6</v>
      </c>
      <c r="B15" s="379" t="s">
        <v>628</v>
      </c>
      <c r="C15" s="430">
        <f>C16+C30+C43+C44+C45+C46</f>
        <v>395120000000</v>
      </c>
      <c r="D15" s="430">
        <f>D16+D30+D43+D44+D45+D46+D47</f>
        <v>414163431575</v>
      </c>
      <c r="E15" s="430">
        <f t="shared" si="0"/>
        <v>19043431575</v>
      </c>
      <c r="F15" s="424">
        <f t="shared" si="1"/>
        <v>104.81965771790848</v>
      </c>
    </row>
    <row r="16" spans="1:6" s="9" customFormat="1" ht="15.75">
      <c r="A16" s="413" t="s">
        <v>14</v>
      </c>
      <c r="B16" s="379" t="s">
        <v>15</v>
      </c>
      <c r="C16" s="430">
        <f>C17+C29+C28</f>
        <v>123800000000</v>
      </c>
      <c r="D16" s="430">
        <f>D17+D29+D28</f>
        <v>122247850000</v>
      </c>
      <c r="E16" s="430">
        <f t="shared" si="0"/>
        <v>-1552150000</v>
      </c>
      <c r="F16" s="424">
        <f t="shared" si="1"/>
        <v>98.74624394184168</v>
      </c>
    </row>
    <row r="17" spans="1:6" s="125" customFormat="1" ht="15.75">
      <c r="A17" s="389">
        <v>1</v>
      </c>
      <c r="B17" s="129" t="s">
        <v>16</v>
      </c>
      <c r="C17" s="426">
        <f>SUM(C18:C27)</f>
        <v>123800000000</v>
      </c>
      <c r="D17" s="426">
        <f>SUM(D18:D27)</f>
        <v>122247850000</v>
      </c>
      <c r="E17" s="426">
        <f>SUM(E18:E27)</f>
        <v>-1552150000</v>
      </c>
      <c r="F17" s="414">
        <f t="shared" si="1"/>
        <v>98.74624394184168</v>
      </c>
    </row>
    <row r="18" spans="1:6" s="125" customFormat="1" ht="15.75">
      <c r="A18" s="117" t="s">
        <v>18</v>
      </c>
      <c r="B18" s="108" t="s">
        <v>185</v>
      </c>
      <c r="C18" s="415">
        <f>'BIEU 51'!C17</f>
        <v>1500000000</v>
      </c>
      <c r="D18" s="415">
        <f>'BIEU 51'!D17</f>
        <v>1481579000</v>
      </c>
      <c r="E18" s="426">
        <f t="shared" si="0"/>
        <v>-18421000</v>
      </c>
      <c r="F18" s="414">
        <f t="shared" si="1"/>
        <v>98.77193333333332</v>
      </c>
    </row>
    <row r="19" spans="1:6" s="125" customFormat="1" ht="15.75">
      <c r="A19" s="117" t="s">
        <v>18</v>
      </c>
      <c r="B19" s="108" t="s">
        <v>83</v>
      </c>
      <c r="C19" s="415">
        <f>'BIEU 51'!C18</f>
        <v>1450000000</v>
      </c>
      <c r="D19" s="415">
        <f>'BIEU 51'!D18</f>
        <v>1257746000</v>
      </c>
      <c r="E19" s="426">
        <f t="shared" si="0"/>
        <v>-192254000</v>
      </c>
      <c r="F19" s="414">
        <f t="shared" si="1"/>
        <v>86.74110344827585</v>
      </c>
    </row>
    <row r="20" spans="1:6" s="125" customFormat="1" ht="15.75">
      <c r="A20" s="117" t="s">
        <v>18</v>
      </c>
      <c r="B20" s="108" t="s">
        <v>19</v>
      </c>
      <c r="C20" s="415">
        <f>'BIEU 51'!C19</f>
        <v>13013000000</v>
      </c>
      <c r="D20" s="415">
        <f>'BIEU 51'!D19</f>
        <v>9910065000</v>
      </c>
      <c r="E20" s="426">
        <f t="shared" si="0"/>
        <v>-3102935000</v>
      </c>
      <c r="F20" s="414">
        <f t="shared" si="1"/>
        <v>76.15511411665258</v>
      </c>
    </row>
    <row r="21" spans="1:6" s="125" customFormat="1" ht="15.75">
      <c r="A21" s="117" t="s">
        <v>18</v>
      </c>
      <c r="B21" s="108" t="s">
        <v>593</v>
      </c>
      <c r="C21" s="415">
        <f>'BIEU 51'!C20</f>
        <v>168000000</v>
      </c>
      <c r="D21" s="415">
        <f>'BIEU 51'!D20</f>
        <v>0</v>
      </c>
      <c r="E21" s="426">
        <f t="shared" si="0"/>
        <v>-168000000</v>
      </c>
      <c r="F21" s="414">
        <f t="shared" si="1"/>
        <v>0</v>
      </c>
    </row>
    <row r="22" spans="1:6" s="125" customFormat="1" ht="15.75">
      <c r="A22" s="117" t="s">
        <v>18</v>
      </c>
      <c r="B22" s="108" t="s">
        <v>191</v>
      </c>
      <c r="C22" s="415">
        <f>'BIEU 51'!C21</f>
        <v>1630000000</v>
      </c>
      <c r="D22" s="415">
        <f>'BIEU 51'!D21</f>
        <v>843971000</v>
      </c>
      <c r="E22" s="426">
        <f t="shared" si="0"/>
        <v>-786029000</v>
      </c>
      <c r="F22" s="414">
        <f t="shared" si="1"/>
        <v>51.77736196319018</v>
      </c>
    </row>
    <row r="23" spans="1:6" s="125" customFormat="1" ht="31.5">
      <c r="A23" s="122" t="s">
        <v>18</v>
      </c>
      <c r="B23" s="129" t="s">
        <v>193</v>
      </c>
      <c r="C23" s="415">
        <f>'BIEU 51'!C22</f>
        <v>886000000</v>
      </c>
      <c r="D23" s="415">
        <f>'BIEU 51'!D22</f>
        <v>1918735000</v>
      </c>
      <c r="E23" s="426">
        <f t="shared" si="0"/>
        <v>1032735000</v>
      </c>
      <c r="F23" s="414">
        <f t="shared" si="1"/>
        <v>216.56151241534988</v>
      </c>
    </row>
    <row r="24" spans="1:6" s="125" customFormat="1" ht="15.75">
      <c r="A24" s="122" t="s">
        <v>18</v>
      </c>
      <c r="B24" s="130" t="s">
        <v>89</v>
      </c>
      <c r="C24" s="415">
        <f>'BIEU 51'!C23</f>
        <v>85205000000</v>
      </c>
      <c r="D24" s="415">
        <f>'BIEU 51'!D23</f>
        <v>95383823000</v>
      </c>
      <c r="E24" s="426">
        <f t="shared" si="0"/>
        <v>10178823000</v>
      </c>
      <c r="F24" s="414">
        <f t="shared" si="1"/>
        <v>111.94627427967842</v>
      </c>
    </row>
    <row r="25" spans="1:6" s="125" customFormat="1" ht="15.75">
      <c r="A25" s="122" t="s">
        <v>18</v>
      </c>
      <c r="B25" s="129" t="s">
        <v>194</v>
      </c>
      <c r="C25" s="415">
        <f>'BIEU 51'!C24</f>
        <v>4534000000</v>
      </c>
      <c r="D25" s="415">
        <f>'BIEU 51'!D24</f>
        <v>11451931000</v>
      </c>
      <c r="E25" s="426">
        <f t="shared" si="0"/>
        <v>6917931000</v>
      </c>
      <c r="F25" s="414">
        <f t="shared" si="1"/>
        <v>252.57898103220114</v>
      </c>
    </row>
    <row r="26" spans="1:6" s="125" customFormat="1" ht="15.75">
      <c r="A26" s="117" t="s">
        <v>18</v>
      </c>
      <c r="B26" s="108" t="s">
        <v>241</v>
      </c>
      <c r="C26" s="415">
        <f>'BIEU 51'!C25</f>
        <v>1800000000</v>
      </c>
      <c r="D26" s="415"/>
      <c r="E26" s="426">
        <f t="shared" si="0"/>
        <v>-1800000000</v>
      </c>
      <c r="F26" s="414">
        <f t="shared" si="1"/>
        <v>0</v>
      </c>
    </row>
    <row r="27" spans="1:6" s="125" customFormat="1" ht="15.75">
      <c r="A27" s="117" t="s">
        <v>18</v>
      </c>
      <c r="B27" s="108" t="s">
        <v>592</v>
      </c>
      <c r="C27" s="415">
        <f>'BIEU 51'!C26</f>
        <v>13614000000</v>
      </c>
      <c r="D27" s="415"/>
      <c r="E27" s="426">
        <f t="shared" si="0"/>
        <v>-13614000000</v>
      </c>
      <c r="F27" s="414">
        <f t="shared" si="1"/>
        <v>0</v>
      </c>
    </row>
    <row r="28" spans="1:6" s="125" customFormat="1" ht="60.75" customHeight="1">
      <c r="A28" s="380">
        <v>2</v>
      </c>
      <c r="B28" s="844" t="s">
        <v>23</v>
      </c>
      <c r="C28" s="380"/>
      <c r="D28" s="380"/>
      <c r="E28" s="430">
        <f t="shared" si="0"/>
        <v>0</v>
      </c>
      <c r="F28" s="424"/>
    </row>
    <row r="29" spans="1:6" s="125" customFormat="1" ht="15.75">
      <c r="A29" s="380">
        <v>3</v>
      </c>
      <c r="B29" s="129" t="s">
        <v>24</v>
      </c>
      <c r="C29" s="441">
        <v>0</v>
      </c>
      <c r="D29" s="380"/>
      <c r="E29" s="430">
        <f t="shared" si="0"/>
        <v>0</v>
      </c>
      <c r="F29" s="424"/>
    </row>
    <row r="30" spans="1:6" s="9" customFormat="1" ht="15.75">
      <c r="A30" s="413" t="s">
        <v>25</v>
      </c>
      <c r="B30" s="379" t="s">
        <v>26</v>
      </c>
      <c r="C30" s="417">
        <f>SUM(C31:C42)</f>
        <v>264312000000</v>
      </c>
      <c r="D30" s="417">
        <f>SUM(D31:D42)</f>
        <v>281486902761</v>
      </c>
      <c r="E30" s="430">
        <f t="shared" si="0"/>
        <v>17174902761</v>
      </c>
      <c r="F30" s="424">
        <f t="shared" si="1"/>
        <v>106.49796557137019</v>
      </c>
    </row>
    <row r="31" spans="1:6" s="125" customFormat="1" ht="15.75">
      <c r="A31" s="380" t="s">
        <v>18</v>
      </c>
      <c r="B31" s="129" t="s">
        <v>488</v>
      </c>
      <c r="C31" s="415">
        <v>135636000000</v>
      </c>
      <c r="D31" s="415">
        <f>135001.790152*1000000</f>
        <v>135001790152</v>
      </c>
      <c r="E31" s="426">
        <f t="shared" si="0"/>
        <v>-634209848</v>
      </c>
      <c r="F31" s="414">
        <f t="shared" si="1"/>
        <v>99.53241775929695</v>
      </c>
    </row>
    <row r="32" spans="1:6" s="125" customFormat="1" ht="15.75">
      <c r="A32" s="380" t="s">
        <v>18</v>
      </c>
      <c r="B32" s="129" t="s">
        <v>489</v>
      </c>
      <c r="C32" s="415"/>
      <c r="D32" s="415">
        <f>114.644*1000000</f>
        <v>114644000</v>
      </c>
      <c r="E32" s="426">
        <f t="shared" si="0"/>
        <v>114644000</v>
      </c>
      <c r="F32" s="424"/>
    </row>
    <row r="33" spans="1:6" s="125" customFormat="1" ht="15.75">
      <c r="A33" s="380" t="s">
        <v>18</v>
      </c>
      <c r="B33" s="129" t="s">
        <v>185</v>
      </c>
      <c r="C33" s="415">
        <v>4737000000</v>
      </c>
      <c r="D33" s="415">
        <f>4779.876*1000000</f>
        <v>4779876000</v>
      </c>
      <c r="E33" s="426">
        <f t="shared" si="0"/>
        <v>42876000</v>
      </c>
      <c r="F33" s="414">
        <f t="shared" si="1"/>
        <v>100.9051298290057</v>
      </c>
    </row>
    <row r="34" spans="1:6" s="125" customFormat="1" ht="15.75">
      <c r="A34" s="380" t="s">
        <v>18</v>
      </c>
      <c r="B34" s="129" t="s">
        <v>83</v>
      </c>
      <c r="C34" s="415">
        <v>2325000000</v>
      </c>
      <c r="D34" s="415">
        <f>2180.968*1000000</f>
        <v>2180968000</v>
      </c>
      <c r="E34" s="426">
        <f t="shared" si="0"/>
        <v>-144032000</v>
      </c>
      <c r="F34" s="414">
        <f t="shared" si="1"/>
        <v>93.8050752688172</v>
      </c>
    </row>
    <row r="35" spans="1:6" s="125" customFormat="1" ht="15.75">
      <c r="A35" s="380" t="s">
        <v>18</v>
      </c>
      <c r="B35" s="129" t="s">
        <v>84</v>
      </c>
      <c r="C35" s="415"/>
      <c r="D35" s="415"/>
      <c r="E35" s="426">
        <f t="shared" si="0"/>
        <v>0</v>
      </c>
      <c r="F35" s="424"/>
    </row>
    <row r="36" spans="1:6" s="125" customFormat="1" ht="15.75">
      <c r="A36" s="380" t="s">
        <v>18</v>
      </c>
      <c r="B36" s="129" t="s">
        <v>608</v>
      </c>
      <c r="C36" s="415">
        <v>4444000000</v>
      </c>
      <c r="D36" s="415">
        <f>7107.685925*1000000</f>
        <v>7107685925</v>
      </c>
      <c r="E36" s="426">
        <f t="shared" si="0"/>
        <v>2663685925</v>
      </c>
      <c r="F36" s="414">
        <f t="shared" si="1"/>
        <v>159.93892720522052</v>
      </c>
    </row>
    <row r="37" spans="1:6" s="125" customFormat="1" ht="15.75">
      <c r="A37" s="380" t="s">
        <v>18</v>
      </c>
      <c r="B37" s="129" t="s">
        <v>86</v>
      </c>
      <c r="C37" s="415">
        <v>1734000000</v>
      </c>
      <c r="D37" s="415">
        <f>1016.654589*1000000</f>
        <v>1016654589</v>
      </c>
      <c r="E37" s="426">
        <f t="shared" si="0"/>
        <v>-717345411</v>
      </c>
      <c r="F37" s="414">
        <f t="shared" si="1"/>
        <v>58.63059913494809</v>
      </c>
    </row>
    <row r="38" spans="1:6" s="125" customFormat="1" ht="15.75">
      <c r="A38" s="380" t="s">
        <v>18</v>
      </c>
      <c r="B38" s="129" t="s">
        <v>88</v>
      </c>
      <c r="C38" s="415">
        <v>8273000000</v>
      </c>
      <c r="D38" s="415">
        <f>8584.37168*1000000</f>
        <v>8584371680</v>
      </c>
      <c r="E38" s="426">
        <f t="shared" si="0"/>
        <v>311371680</v>
      </c>
      <c r="F38" s="414">
        <f t="shared" si="1"/>
        <v>103.7637094161731</v>
      </c>
    </row>
    <row r="39" spans="1:6" s="125" customFormat="1" ht="15.75">
      <c r="A39" s="380" t="s">
        <v>18</v>
      </c>
      <c r="B39" s="129" t="s">
        <v>89</v>
      </c>
      <c r="C39" s="415">
        <v>54016000000</v>
      </c>
      <c r="D39" s="415">
        <f>78090.091872*1000000</f>
        <v>78090091872</v>
      </c>
      <c r="E39" s="426">
        <f t="shared" si="0"/>
        <v>24074091872</v>
      </c>
      <c r="F39" s="414">
        <f t="shared" si="1"/>
        <v>144.5684461492891</v>
      </c>
    </row>
    <row r="40" spans="1:6" s="125" customFormat="1" ht="31.5">
      <c r="A40" s="380" t="s">
        <v>18</v>
      </c>
      <c r="B40" s="129" t="s">
        <v>91</v>
      </c>
      <c r="C40" s="415">
        <v>32616000000</v>
      </c>
      <c r="D40" s="415">
        <f>31951.371553*1000000</f>
        <v>31951371553</v>
      </c>
      <c r="E40" s="426">
        <f t="shared" si="0"/>
        <v>-664628447</v>
      </c>
      <c r="F40" s="414">
        <f t="shared" si="1"/>
        <v>97.96226254905568</v>
      </c>
    </row>
    <row r="41" spans="1:6" s="125" customFormat="1" ht="15.75">
      <c r="A41" s="380" t="s">
        <v>18</v>
      </c>
      <c r="B41" s="129" t="s">
        <v>92</v>
      </c>
      <c r="C41" s="415">
        <v>18627000000</v>
      </c>
      <c r="D41" s="415">
        <f>10536.69699*1000000</f>
        <v>10536696990</v>
      </c>
      <c r="E41" s="426">
        <f t="shared" si="0"/>
        <v>-8090303010</v>
      </c>
      <c r="F41" s="414">
        <f t="shared" si="1"/>
        <v>56.56679545820583</v>
      </c>
    </row>
    <row r="42" spans="1:6" s="125" customFormat="1" ht="15.75">
      <c r="A42" s="380" t="s">
        <v>18</v>
      </c>
      <c r="B42" s="129" t="s">
        <v>96</v>
      </c>
      <c r="C42" s="415">
        <v>1904000000</v>
      </c>
      <c r="D42" s="415">
        <f>2122.752*1000000</f>
        <v>2122752000</v>
      </c>
      <c r="E42" s="426">
        <f t="shared" si="0"/>
        <v>218752000</v>
      </c>
      <c r="F42" s="414">
        <f t="shared" si="1"/>
        <v>111.4890756302521</v>
      </c>
    </row>
    <row r="43" spans="1:6" s="125" customFormat="1" ht="28.5" customHeight="1">
      <c r="A43" s="378" t="s">
        <v>28</v>
      </c>
      <c r="B43" s="379" t="s">
        <v>490</v>
      </c>
      <c r="C43" s="380"/>
      <c r="D43" s="380"/>
      <c r="E43" s="426">
        <f t="shared" si="0"/>
        <v>0</v>
      </c>
      <c r="F43" s="414"/>
    </row>
    <row r="44" spans="1:6" s="125" customFormat="1" ht="15.75">
      <c r="A44" s="378" t="s">
        <v>30</v>
      </c>
      <c r="B44" s="379" t="s">
        <v>65</v>
      </c>
      <c r="C44" s="380"/>
      <c r="D44" s="380"/>
      <c r="E44" s="426">
        <f t="shared" si="0"/>
        <v>0</v>
      </c>
      <c r="F44" s="424"/>
    </row>
    <row r="45" spans="1:6" s="125" customFormat="1" ht="15.75">
      <c r="A45" s="378" t="s">
        <v>32</v>
      </c>
      <c r="B45" s="379" t="s">
        <v>33</v>
      </c>
      <c r="C45" s="417">
        <v>6833000000</v>
      </c>
      <c r="D45" s="380"/>
      <c r="E45" s="430">
        <f t="shared" si="0"/>
        <v>-6833000000</v>
      </c>
      <c r="F45" s="424">
        <f t="shared" si="1"/>
        <v>0</v>
      </c>
    </row>
    <row r="46" spans="1:6" s="125" customFormat="1" ht="15.75">
      <c r="A46" s="378" t="s">
        <v>34</v>
      </c>
      <c r="B46" s="379" t="s">
        <v>35</v>
      </c>
      <c r="C46" s="417">
        <v>175000000</v>
      </c>
      <c r="D46" s="380"/>
      <c r="E46" s="430">
        <f t="shared" si="0"/>
        <v>-175000000</v>
      </c>
      <c r="F46" s="424">
        <f t="shared" si="1"/>
        <v>0</v>
      </c>
    </row>
    <row r="47" spans="1:6" s="9" customFormat="1" ht="15.75">
      <c r="A47" s="413" t="s">
        <v>77</v>
      </c>
      <c r="B47" s="111" t="s">
        <v>604</v>
      </c>
      <c r="C47" s="417"/>
      <c r="D47" s="417">
        <f>10428.678814*1000000</f>
        <v>10428678814</v>
      </c>
      <c r="E47" s="430">
        <f t="shared" si="0"/>
        <v>10428678814</v>
      </c>
      <c r="F47" s="424"/>
    </row>
    <row r="48" spans="1:6" s="395" customFormat="1" ht="15.75">
      <c r="A48" s="453" t="s">
        <v>39</v>
      </c>
      <c r="B48" s="487" t="s">
        <v>491</v>
      </c>
      <c r="C48" s="453"/>
      <c r="D48" s="454">
        <f>35732.660195*1000000</f>
        <v>35732660195</v>
      </c>
      <c r="E48" s="488">
        <f t="shared" si="0"/>
        <v>35732660195</v>
      </c>
      <c r="F48" s="489"/>
    </row>
    <row r="49" spans="1:6" s="395" customFormat="1" ht="15.75">
      <c r="A49" s="451" t="s">
        <v>196</v>
      </c>
      <c r="B49" s="843" t="s">
        <v>605</v>
      </c>
      <c r="C49" s="453"/>
      <c r="D49" s="454">
        <f>1629.4165*1000000</f>
        <v>1629416500</v>
      </c>
      <c r="E49" s="430">
        <f t="shared" si="0"/>
        <v>1629416500</v>
      </c>
      <c r="F49" s="424"/>
    </row>
    <row r="50" ht="18.75" customHeight="1">
      <c r="A50" s="382"/>
    </row>
    <row r="51" spans="1:6" ht="29.25" customHeight="1">
      <c r="A51" s="707"/>
      <c r="B51" s="707"/>
      <c r="C51" s="707"/>
      <c r="D51" s="707"/>
      <c r="E51" s="707"/>
      <c r="F51" s="707"/>
    </row>
  </sheetData>
  <sheetProtection/>
  <mergeCells count="18">
    <mergeCell ref="C1:F1"/>
    <mergeCell ref="C3:F3"/>
    <mergeCell ref="A1:B1"/>
    <mergeCell ref="A2:B2"/>
    <mergeCell ref="C2:F2"/>
    <mergeCell ref="A5:F5"/>
    <mergeCell ref="E9:F9"/>
    <mergeCell ref="A51:F51"/>
    <mergeCell ref="A10:A11"/>
    <mergeCell ref="B10:B11"/>
    <mergeCell ref="C10:C11"/>
    <mergeCell ref="D10:D11"/>
    <mergeCell ref="E10:F10"/>
    <mergeCell ref="G6:H6"/>
    <mergeCell ref="A6:F6"/>
    <mergeCell ref="A7:F7"/>
    <mergeCell ref="A3:B3"/>
    <mergeCell ref="A8:F8"/>
  </mergeCells>
  <printOptions/>
  <pageMargins left="0.5118110236220472" right="0.2362204724409449" top="0.3937007874015748" bottom="0.31496062992125984"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rgb="FF00B0F0"/>
  </sheetPr>
  <dimension ref="A1:M126"/>
  <sheetViews>
    <sheetView zoomScale="85" zoomScaleNormal="85" workbookViewId="0" topLeftCell="A51">
      <selection activeCell="A8" sqref="A8:K8"/>
    </sheetView>
  </sheetViews>
  <sheetFormatPr defaultColWidth="8.796875" defaultRowHeight="15"/>
  <cols>
    <col min="1" max="1" width="5.09765625" style="3" customWidth="1"/>
    <col min="2" max="2" width="56" style="3" customWidth="1"/>
    <col min="3" max="3" width="16.8984375" style="3" customWidth="1"/>
    <col min="4" max="4" width="17.5" style="3" customWidth="1"/>
    <col min="5" max="5" width="16.09765625" style="3" customWidth="1"/>
    <col min="6" max="7" width="15.69921875" style="3" customWidth="1"/>
    <col min="8" max="8" width="14.19921875" style="3" customWidth="1"/>
    <col min="9" max="9" width="10" style="3" customWidth="1"/>
    <col min="10" max="10" width="8.3984375" style="3" customWidth="1"/>
    <col min="11" max="11" width="7.8984375" style="3" customWidth="1"/>
    <col min="12" max="12" width="9" style="3" customWidth="1"/>
    <col min="13" max="16384" width="9" style="3" customWidth="1"/>
  </cols>
  <sheetData>
    <row r="1" spans="1:11" s="125" customFormat="1" ht="18" customHeight="1">
      <c r="A1" s="832" t="s">
        <v>794</v>
      </c>
      <c r="B1" s="832"/>
      <c r="C1" s="832" t="s">
        <v>809</v>
      </c>
      <c r="D1" s="832"/>
      <c r="E1" s="832"/>
      <c r="F1" s="832"/>
      <c r="G1" s="832"/>
      <c r="H1" s="832"/>
      <c r="I1" s="832"/>
      <c r="J1" s="832"/>
      <c r="K1" s="832"/>
    </row>
    <row r="2" spans="1:11" s="125" customFormat="1" ht="18" customHeight="1">
      <c r="A2" s="833" t="s">
        <v>260</v>
      </c>
      <c r="B2" s="833"/>
      <c r="C2" s="834" t="s">
        <v>810</v>
      </c>
      <c r="D2" s="834"/>
      <c r="E2" s="834"/>
      <c r="F2" s="834"/>
      <c r="G2" s="834"/>
      <c r="H2" s="834"/>
      <c r="I2" s="834"/>
      <c r="J2" s="834"/>
      <c r="K2" s="834"/>
    </row>
    <row r="3" spans="1:11" s="125" customFormat="1" ht="18.75" customHeight="1">
      <c r="A3" s="810" t="s">
        <v>811</v>
      </c>
      <c r="B3" s="701"/>
      <c r="C3" s="821" t="s">
        <v>802</v>
      </c>
      <c r="D3" s="821"/>
      <c r="E3" s="821"/>
      <c r="F3" s="821"/>
      <c r="G3" s="821"/>
      <c r="H3" s="821"/>
      <c r="I3" s="821"/>
      <c r="J3" s="821"/>
      <c r="K3" s="821"/>
    </row>
    <row r="4" spans="1:8" ht="15.75">
      <c r="A4" s="818"/>
      <c r="B4" s="692"/>
      <c r="C4" s="823"/>
      <c r="D4" s="824"/>
      <c r="E4" s="824"/>
      <c r="F4" s="824"/>
      <c r="G4" s="824"/>
      <c r="H4" s="824"/>
    </row>
    <row r="5" spans="1:11" ht="18.75">
      <c r="A5" s="825" t="s">
        <v>823</v>
      </c>
      <c r="B5" s="825"/>
      <c r="C5" s="825"/>
      <c r="D5" s="825"/>
      <c r="E5" s="825"/>
      <c r="F5" s="825"/>
      <c r="G5" s="825"/>
      <c r="H5" s="825"/>
      <c r="I5" s="825"/>
      <c r="J5" s="825"/>
      <c r="K5" s="825"/>
    </row>
    <row r="6" spans="1:12" ht="18.75">
      <c r="A6" s="727" t="s">
        <v>247</v>
      </c>
      <c r="B6" s="727"/>
      <c r="C6" s="727"/>
      <c r="D6" s="727"/>
      <c r="E6" s="727"/>
      <c r="F6" s="727"/>
      <c r="G6" s="727"/>
      <c r="H6" s="727"/>
      <c r="I6" s="727"/>
      <c r="J6" s="727"/>
      <c r="K6" s="727"/>
      <c r="L6" s="829"/>
    </row>
    <row r="7" spans="1:12" ht="18.75">
      <c r="A7" s="727" t="s">
        <v>481</v>
      </c>
      <c r="B7" s="727"/>
      <c r="C7" s="727"/>
      <c r="D7" s="727"/>
      <c r="E7" s="727"/>
      <c r="F7" s="727"/>
      <c r="G7" s="727"/>
      <c r="H7" s="727"/>
      <c r="I7" s="727"/>
      <c r="J7" s="727"/>
      <c r="K7" s="727"/>
      <c r="L7" s="829"/>
    </row>
    <row r="8" spans="1:12" ht="18.75">
      <c r="A8" s="847" t="s">
        <v>800</v>
      </c>
      <c r="B8" s="847"/>
      <c r="C8" s="847"/>
      <c r="D8" s="847"/>
      <c r="E8" s="847"/>
      <c r="F8" s="847"/>
      <c r="G8" s="847"/>
      <c r="H8" s="847"/>
      <c r="I8" s="847"/>
      <c r="J8" s="847"/>
      <c r="K8" s="847"/>
      <c r="L8" s="848"/>
    </row>
    <row r="9" spans="1:12" ht="15.75">
      <c r="A9" s="846" t="s">
        <v>813</v>
      </c>
      <c r="B9" s="846"/>
      <c r="C9" s="846"/>
      <c r="D9" s="846"/>
      <c r="E9" s="846"/>
      <c r="F9" s="846"/>
      <c r="G9" s="846"/>
      <c r="H9" s="846"/>
      <c r="I9" s="846"/>
      <c r="J9" s="846"/>
      <c r="K9" s="846"/>
      <c r="L9" s="849"/>
    </row>
    <row r="10" spans="1:11" ht="15.75">
      <c r="A10" s="4"/>
      <c r="B10" s="4"/>
      <c r="C10" s="2"/>
      <c r="D10" s="2"/>
      <c r="E10" s="2"/>
      <c r="F10" s="2"/>
      <c r="G10" s="2"/>
      <c r="H10" s="2"/>
      <c r="I10" s="2"/>
      <c r="J10" s="2"/>
      <c r="K10" s="2"/>
    </row>
    <row r="11" spans="1:11" ht="19.5" customHeight="1">
      <c r="A11" s="5"/>
      <c r="B11" s="5"/>
      <c r="F11" s="712" t="s">
        <v>626</v>
      </c>
      <c r="G11" s="712"/>
      <c r="H11" s="712"/>
      <c r="I11" s="712"/>
      <c r="J11" s="712"/>
      <c r="K11" s="712"/>
    </row>
    <row r="12" spans="1:11" ht="21.75" customHeight="1">
      <c r="A12" s="710" t="s">
        <v>132</v>
      </c>
      <c r="B12" s="710" t="s">
        <v>148</v>
      </c>
      <c r="C12" s="708" t="s">
        <v>1</v>
      </c>
      <c r="D12" s="710" t="s">
        <v>2</v>
      </c>
      <c r="E12" s="710"/>
      <c r="F12" s="708" t="s">
        <v>3</v>
      </c>
      <c r="G12" s="710" t="s">
        <v>2</v>
      </c>
      <c r="H12" s="710"/>
      <c r="I12" s="710" t="s">
        <v>4</v>
      </c>
      <c r="J12" s="710"/>
      <c r="K12" s="710"/>
    </row>
    <row r="13" spans="1:11" ht="21.75" customHeight="1">
      <c r="A13" s="710"/>
      <c r="B13" s="711"/>
      <c r="C13" s="708"/>
      <c r="D13" s="708" t="s">
        <v>172</v>
      </c>
      <c r="E13" s="708" t="s">
        <v>171</v>
      </c>
      <c r="F13" s="708"/>
      <c r="G13" s="708" t="s">
        <v>170</v>
      </c>
      <c r="H13" s="708" t="s">
        <v>171</v>
      </c>
      <c r="I13" s="708" t="s">
        <v>182</v>
      </c>
      <c r="J13" s="708" t="s">
        <v>183</v>
      </c>
      <c r="K13" s="708" t="s">
        <v>171</v>
      </c>
    </row>
    <row r="14" spans="1:11" ht="21.75" customHeight="1">
      <c r="A14" s="710"/>
      <c r="B14" s="711"/>
      <c r="C14" s="708"/>
      <c r="D14" s="708"/>
      <c r="E14" s="708"/>
      <c r="F14" s="708"/>
      <c r="G14" s="708"/>
      <c r="H14" s="708"/>
      <c r="I14" s="708"/>
      <c r="J14" s="708"/>
      <c r="K14" s="708"/>
    </row>
    <row r="15" spans="1:11" ht="21.75" customHeight="1">
      <c r="A15" s="710"/>
      <c r="B15" s="711"/>
      <c r="C15" s="708"/>
      <c r="D15" s="708"/>
      <c r="E15" s="708"/>
      <c r="F15" s="708"/>
      <c r="G15" s="708"/>
      <c r="H15" s="708"/>
      <c r="I15" s="708"/>
      <c r="J15" s="708"/>
      <c r="K15" s="708"/>
    </row>
    <row r="16" spans="1:11" ht="5.25" customHeight="1">
      <c r="A16" s="710"/>
      <c r="B16" s="711"/>
      <c r="C16" s="708"/>
      <c r="D16" s="708"/>
      <c r="E16" s="708"/>
      <c r="F16" s="708"/>
      <c r="G16" s="708"/>
      <c r="H16" s="708"/>
      <c r="I16" s="708"/>
      <c r="J16" s="708"/>
      <c r="K16" s="708"/>
    </row>
    <row r="17" spans="1:11" s="9" customFormat="1" ht="17.25" customHeight="1">
      <c r="A17" s="8" t="s">
        <v>5</v>
      </c>
      <c r="B17" s="8" t="s">
        <v>6</v>
      </c>
      <c r="C17" s="8" t="s">
        <v>7</v>
      </c>
      <c r="D17" s="8">
        <v>2</v>
      </c>
      <c r="E17" s="8">
        <f>D17+1</f>
        <v>3</v>
      </c>
      <c r="F17" s="8" t="s">
        <v>8</v>
      </c>
      <c r="G17" s="8">
        <v>5</v>
      </c>
      <c r="H17" s="8">
        <f>G17+1</f>
        <v>6</v>
      </c>
      <c r="I17" s="8" t="s">
        <v>9</v>
      </c>
      <c r="J17" s="8" t="s">
        <v>10</v>
      </c>
      <c r="K17" s="8" t="s">
        <v>11</v>
      </c>
    </row>
    <row r="18" spans="1:12" s="9" customFormat="1" ht="18" customHeight="1">
      <c r="A18" s="8"/>
      <c r="B18" s="124" t="s">
        <v>12</v>
      </c>
      <c r="C18" s="133">
        <f>C19+C58+C62</f>
        <v>448669000000</v>
      </c>
      <c r="D18" s="133">
        <f>D19+D58+D62</f>
        <v>395120000000</v>
      </c>
      <c r="E18" s="133">
        <f>E19+E58+E62</f>
        <v>53549000000</v>
      </c>
      <c r="F18" s="133">
        <f>F19+F58+F62+F61</f>
        <v>600255026426</v>
      </c>
      <c r="G18" s="133">
        <f>G19+G58+G62+G61</f>
        <v>519770215270</v>
      </c>
      <c r="H18" s="133">
        <f>H19+H58+H62+H61</f>
        <v>80484811156</v>
      </c>
      <c r="I18" s="142">
        <f>F18/C18*100</f>
        <v>133.78571428514115</v>
      </c>
      <c r="J18" s="142">
        <f>G18/D18*100</f>
        <v>131.5474324939259</v>
      </c>
      <c r="K18" s="142">
        <f>H18/E18*100</f>
        <v>150.30124027712935</v>
      </c>
      <c r="L18" s="682"/>
    </row>
    <row r="19" spans="1:11" s="125" customFormat="1" ht="18" customHeight="1">
      <c r="A19" s="8" t="s">
        <v>5</v>
      </c>
      <c r="B19" s="124" t="s">
        <v>13</v>
      </c>
      <c r="C19" s="133">
        <f>C20+C38+C52+C53+C54+C55</f>
        <v>448669000000</v>
      </c>
      <c r="D19" s="133">
        <f>D20+D38+D52+D53+D54+D55</f>
        <v>395120000000</v>
      </c>
      <c r="E19" s="133">
        <f>E20+E38+E52+E53+E54+E55</f>
        <v>53549000000</v>
      </c>
      <c r="F19" s="133">
        <f>F20+F38+F52+F53+F54+F55+F56+F57</f>
        <v>558552640923</v>
      </c>
      <c r="G19" s="133">
        <f>G20+G38+G52+G53+G54+G55+G56+G57</f>
        <v>482408138575</v>
      </c>
      <c r="H19" s="133">
        <f>H20+H38+H52+H53+H54+H55+H56+H57</f>
        <v>76144502348</v>
      </c>
      <c r="I19" s="142">
        <f aca="true" t="shared" si="0" ref="I19:I54">F19/C19*100</f>
        <v>124.49102588389214</v>
      </c>
      <c r="J19" s="142">
        <f aca="true" t="shared" si="1" ref="J19:J54">G19/D19*100</f>
        <v>122.09155157293988</v>
      </c>
      <c r="K19" s="142">
        <f>H19/E19*100</f>
        <v>142.19593708192497</v>
      </c>
    </row>
    <row r="20" spans="1:11" s="125" customFormat="1" ht="18" customHeight="1">
      <c r="A20" s="8" t="s">
        <v>14</v>
      </c>
      <c r="B20" s="124" t="s">
        <v>15</v>
      </c>
      <c r="C20" s="133">
        <f>C21+C36+C37</f>
        <v>130401000000</v>
      </c>
      <c r="D20" s="133">
        <f>D21</f>
        <v>123800000000</v>
      </c>
      <c r="E20" s="133">
        <f>E21+E36+E37</f>
        <v>6601000000</v>
      </c>
      <c r="F20" s="133">
        <f>F21+F36+F37</f>
        <v>127400995000</v>
      </c>
      <c r="G20" s="133">
        <f>G21+G36+G37</f>
        <v>122247850000</v>
      </c>
      <c r="H20" s="133">
        <f>H21+H36+H37</f>
        <v>5153145000</v>
      </c>
      <c r="I20" s="142">
        <f t="shared" si="0"/>
        <v>97.6994003113473</v>
      </c>
      <c r="J20" s="142">
        <f t="shared" si="1"/>
        <v>98.74624394184168</v>
      </c>
      <c r="K20" s="142">
        <f>H20/E20*100</f>
        <v>78.06612634449326</v>
      </c>
    </row>
    <row r="21" spans="1:11" s="125" customFormat="1" ht="18" customHeight="1">
      <c r="A21" s="118">
        <v>1</v>
      </c>
      <c r="B21" s="123" t="s">
        <v>16</v>
      </c>
      <c r="C21" s="137">
        <f>D21+E21</f>
        <v>123800000000</v>
      </c>
      <c r="D21" s="131">
        <f>D23+D24+D25+D26+D27+D28+D29+D30+D31+D32</f>
        <v>123800000000</v>
      </c>
      <c r="E21" s="137">
        <f>E34+E35</f>
        <v>0</v>
      </c>
      <c r="F21" s="131">
        <f>SUM(F22:F30)</f>
        <v>122247850000</v>
      </c>
      <c r="G21" s="131">
        <f>SUM(G22:G30)</f>
        <v>122247850000</v>
      </c>
      <c r="H21" s="137">
        <f>SUM(H22:H30)</f>
        <v>0</v>
      </c>
      <c r="I21" s="135">
        <f t="shared" si="0"/>
        <v>98.74624394184168</v>
      </c>
      <c r="J21" s="135">
        <f t="shared" si="1"/>
        <v>98.74624394184168</v>
      </c>
      <c r="K21" s="135"/>
    </row>
    <row r="22" spans="1:12" s="334" customFormat="1" ht="18" customHeight="1">
      <c r="A22" s="683"/>
      <c r="B22" s="672" t="s">
        <v>17</v>
      </c>
      <c r="C22" s="673"/>
      <c r="D22" s="131"/>
      <c r="E22" s="132"/>
      <c r="F22" s="684">
        <f>G22+H22</f>
        <v>0</v>
      </c>
      <c r="G22" s="131"/>
      <c r="H22" s="132"/>
      <c r="I22" s="142"/>
      <c r="J22" s="142"/>
      <c r="K22" s="142"/>
      <c r="L22" s="685"/>
    </row>
    <row r="23" spans="1:12" s="334" customFormat="1" ht="18" customHeight="1">
      <c r="A23" s="122" t="s">
        <v>18</v>
      </c>
      <c r="B23" s="123" t="s">
        <v>185</v>
      </c>
      <c r="C23" s="673"/>
      <c r="D23" s="131">
        <f>'BIEU 52'!C18</f>
        <v>1500000000</v>
      </c>
      <c r="E23" s="132"/>
      <c r="F23" s="131">
        <f aca="true" t="shared" si="2" ref="F23:F30">G23+H23</f>
        <v>1481579000</v>
      </c>
      <c r="G23" s="137">
        <f>'BIEU 51'!D17</f>
        <v>1481579000</v>
      </c>
      <c r="H23" s="132"/>
      <c r="I23" s="142"/>
      <c r="J23" s="142"/>
      <c r="K23" s="142"/>
      <c r="L23" s="685"/>
    </row>
    <row r="24" spans="1:11" s="334" customFormat="1" ht="18" customHeight="1">
      <c r="A24" s="122" t="s">
        <v>18</v>
      </c>
      <c r="B24" s="123" t="s">
        <v>83</v>
      </c>
      <c r="C24" s="673"/>
      <c r="D24" s="131">
        <f>'BIEU 52'!C19</f>
        <v>1450000000</v>
      </c>
      <c r="E24" s="132"/>
      <c r="F24" s="131">
        <f t="shared" si="2"/>
        <v>1257746000</v>
      </c>
      <c r="G24" s="137">
        <f>'BIEU 51'!D18</f>
        <v>1257746000</v>
      </c>
      <c r="H24" s="132"/>
      <c r="I24" s="142"/>
      <c r="J24" s="142"/>
      <c r="K24" s="142"/>
    </row>
    <row r="25" spans="1:12" s="125" customFormat="1" ht="18" customHeight="1">
      <c r="A25" s="122" t="s">
        <v>18</v>
      </c>
      <c r="B25" s="123" t="s">
        <v>19</v>
      </c>
      <c r="C25" s="131"/>
      <c r="D25" s="131">
        <f>'BIEU 52'!C20</f>
        <v>13013000000</v>
      </c>
      <c r="E25" s="132"/>
      <c r="F25" s="131">
        <f t="shared" si="2"/>
        <v>9910065000</v>
      </c>
      <c r="G25" s="137">
        <f>'BIEU 51'!D19</f>
        <v>9910065000</v>
      </c>
      <c r="H25" s="132"/>
      <c r="I25" s="142"/>
      <c r="J25" s="142"/>
      <c r="K25" s="142"/>
      <c r="L25" s="165"/>
    </row>
    <row r="26" spans="1:12" s="125" customFormat="1" ht="18" customHeight="1">
      <c r="A26" s="122" t="s">
        <v>18</v>
      </c>
      <c r="B26" s="123" t="s">
        <v>593</v>
      </c>
      <c r="C26" s="131"/>
      <c r="D26" s="131">
        <f>'BIEU 52'!C21</f>
        <v>168000000</v>
      </c>
      <c r="E26" s="132"/>
      <c r="F26" s="131">
        <f t="shared" si="2"/>
        <v>0</v>
      </c>
      <c r="G26" s="131"/>
      <c r="H26" s="132"/>
      <c r="I26" s="142"/>
      <c r="J26" s="142"/>
      <c r="K26" s="142"/>
      <c r="L26" s="165"/>
    </row>
    <row r="27" spans="1:12" s="125" customFormat="1" ht="18" customHeight="1">
      <c r="A27" s="122" t="s">
        <v>18</v>
      </c>
      <c r="B27" s="123" t="s">
        <v>191</v>
      </c>
      <c r="C27" s="131"/>
      <c r="D27" s="131">
        <f>'BIEU 52'!C22</f>
        <v>1630000000</v>
      </c>
      <c r="E27" s="132"/>
      <c r="F27" s="131">
        <f t="shared" si="2"/>
        <v>843971000</v>
      </c>
      <c r="G27" s="137">
        <f>843971000</f>
        <v>843971000</v>
      </c>
      <c r="H27" s="132"/>
      <c r="I27" s="142"/>
      <c r="J27" s="142"/>
      <c r="K27" s="142"/>
      <c r="L27" s="165"/>
    </row>
    <row r="28" spans="1:12" s="125" customFormat="1" ht="33.75" customHeight="1">
      <c r="A28" s="122" t="s">
        <v>18</v>
      </c>
      <c r="B28" s="129" t="s">
        <v>193</v>
      </c>
      <c r="C28" s="131"/>
      <c r="D28" s="131">
        <f>'BIEU 52'!C23</f>
        <v>886000000</v>
      </c>
      <c r="E28" s="132"/>
      <c r="F28" s="131">
        <f t="shared" si="2"/>
        <v>1918735000</v>
      </c>
      <c r="G28" s="137">
        <f>'BIEU 51'!D22</f>
        <v>1918735000</v>
      </c>
      <c r="H28" s="132"/>
      <c r="I28" s="142"/>
      <c r="J28" s="142"/>
      <c r="K28" s="142"/>
      <c r="L28" s="165"/>
    </row>
    <row r="29" spans="1:11" s="125" customFormat="1" ht="18" customHeight="1">
      <c r="A29" s="122" t="s">
        <v>18</v>
      </c>
      <c r="B29" s="130" t="s">
        <v>89</v>
      </c>
      <c r="C29" s="131"/>
      <c r="D29" s="131">
        <f>'BIEU 52'!C24</f>
        <v>85205000000</v>
      </c>
      <c r="E29" s="132"/>
      <c r="F29" s="131">
        <f t="shared" si="2"/>
        <v>95383823000</v>
      </c>
      <c r="G29" s="131">
        <f>'BIEU 51'!D23</f>
        <v>95383823000</v>
      </c>
      <c r="H29" s="132"/>
      <c r="I29" s="142"/>
      <c r="J29" s="142"/>
      <c r="K29" s="142"/>
    </row>
    <row r="30" spans="1:12" s="125" customFormat="1" ht="18" customHeight="1">
      <c r="A30" s="122" t="s">
        <v>18</v>
      </c>
      <c r="B30" s="129" t="s">
        <v>194</v>
      </c>
      <c r="C30" s="131"/>
      <c r="D30" s="131">
        <f>'BIEU 52'!C25</f>
        <v>4534000000</v>
      </c>
      <c r="E30" s="132"/>
      <c r="F30" s="131">
        <f t="shared" si="2"/>
        <v>11451931000</v>
      </c>
      <c r="G30" s="131">
        <f>11451931000</f>
        <v>11451931000</v>
      </c>
      <c r="H30" s="132"/>
      <c r="I30" s="142"/>
      <c r="J30" s="142"/>
      <c r="K30" s="142"/>
      <c r="L30" s="165"/>
    </row>
    <row r="31" spans="1:11" s="125" customFormat="1" ht="18" customHeight="1">
      <c r="A31" s="122" t="s">
        <v>18</v>
      </c>
      <c r="B31" s="123" t="s">
        <v>241</v>
      </c>
      <c r="C31" s="131"/>
      <c r="D31" s="131">
        <f>'BIEU 52'!C26</f>
        <v>1800000000</v>
      </c>
      <c r="E31" s="132"/>
      <c r="F31" s="131"/>
      <c r="G31" s="131"/>
      <c r="H31" s="132"/>
      <c r="I31" s="142"/>
      <c r="J31" s="142"/>
      <c r="K31" s="142"/>
    </row>
    <row r="32" spans="1:11" s="125" customFormat="1" ht="15.75">
      <c r="A32" s="122" t="s">
        <v>18</v>
      </c>
      <c r="B32" s="123" t="s">
        <v>592</v>
      </c>
      <c r="C32" s="131"/>
      <c r="D32" s="131">
        <f>'BIEU 52'!C27</f>
        <v>13614000000</v>
      </c>
      <c r="E32" s="132"/>
      <c r="F32" s="131"/>
      <c r="G32" s="131"/>
      <c r="H32" s="132"/>
      <c r="I32" s="142"/>
      <c r="J32" s="142"/>
      <c r="K32" s="142"/>
    </row>
    <row r="33" spans="1:11" s="18" customFormat="1" ht="0.75" customHeight="1" hidden="1">
      <c r="A33" s="107"/>
      <c r="B33" s="115" t="s">
        <v>21</v>
      </c>
      <c r="C33" s="116"/>
      <c r="D33" s="110"/>
      <c r="E33" s="114"/>
      <c r="F33" s="110"/>
      <c r="G33" s="110"/>
      <c r="H33" s="114"/>
      <c r="I33" s="127" t="e">
        <f t="shared" si="0"/>
        <v>#DIV/0!</v>
      </c>
      <c r="J33" s="127" t="e">
        <f t="shared" si="1"/>
        <v>#DIV/0!</v>
      </c>
      <c r="K33" s="127" t="e">
        <f>H33/E33*100</f>
        <v>#DIV/0!</v>
      </c>
    </row>
    <row r="34" spans="1:11" ht="15.75" hidden="1">
      <c r="A34" s="117" t="s">
        <v>18</v>
      </c>
      <c r="B34" s="108" t="s">
        <v>184</v>
      </c>
      <c r="C34" s="110">
        <f>D34+E34</f>
        <v>63800</v>
      </c>
      <c r="D34" s="110">
        <v>63800</v>
      </c>
      <c r="E34" s="114"/>
      <c r="F34" s="110"/>
      <c r="G34" s="110"/>
      <c r="H34" s="114"/>
      <c r="I34" s="127">
        <f t="shared" si="0"/>
        <v>0</v>
      </c>
      <c r="J34" s="127">
        <f t="shared" si="1"/>
        <v>0</v>
      </c>
      <c r="K34" s="127" t="e">
        <f>H34/E34*100</f>
        <v>#DIV/0!</v>
      </c>
    </row>
    <row r="35" spans="1:11" ht="15.75" hidden="1">
      <c r="A35" s="117" t="s">
        <v>18</v>
      </c>
      <c r="B35" s="108" t="s">
        <v>22</v>
      </c>
      <c r="C35" s="110">
        <f>D35+E35</f>
        <v>45000</v>
      </c>
      <c r="D35" s="110">
        <v>45000</v>
      </c>
      <c r="E35" s="114"/>
      <c r="F35" s="110"/>
      <c r="G35" s="110"/>
      <c r="H35" s="114"/>
      <c r="I35" s="127">
        <f t="shared" si="0"/>
        <v>0</v>
      </c>
      <c r="J35" s="127">
        <f t="shared" si="1"/>
        <v>0</v>
      </c>
      <c r="K35" s="127" t="e">
        <f>H35/E35*100</f>
        <v>#DIV/0!</v>
      </c>
    </row>
    <row r="36" spans="1:11" ht="63">
      <c r="A36" s="118">
        <v>2</v>
      </c>
      <c r="B36" s="119" t="s">
        <v>23</v>
      </c>
      <c r="C36" s="116"/>
      <c r="D36" s="110"/>
      <c r="E36" s="114"/>
      <c r="F36" s="110"/>
      <c r="G36" s="110"/>
      <c r="H36" s="114"/>
      <c r="I36" s="127"/>
      <c r="J36" s="127"/>
      <c r="K36" s="127"/>
    </row>
    <row r="37" spans="1:11" s="125" customFormat="1" ht="20.25" customHeight="1">
      <c r="A37" s="118">
        <v>3</v>
      </c>
      <c r="B37" s="123" t="s">
        <v>24</v>
      </c>
      <c r="C37" s="131">
        <f>D37+E37</f>
        <v>6601000000</v>
      </c>
      <c r="D37" s="131"/>
      <c r="E37" s="131">
        <v>6601000000</v>
      </c>
      <c r="F37" s="131">
        <f>G37+H37</f>
        <v>5153145000</v>
      </c>
      <c r="G37" s="132"/>
      <c r="H37" s="131">
        <f>5153145000</f>
        <v>5153145000</v>
      </c>
      <c r="I37" s="135">
        <f t="shared" si="0"/>
        <v>78.06612634449326</v>
      </c>
      <c r="J37" s="135"/>
      <c r="K37" s="135">
        <f>H37/E37*100</f>
        <v>78.06612634449326</v>
      </c>
    </row>
    <row r="38" spans="1:13" s="125" customFormat="1" ht="19.5" customHeight="1">
      <c r="A38" s="8" t="s">
        <v>25</v>
      </c>
      <c r="B38" s="124" t="s">
        <v>26</v>
      </c>
      <c r="C38" s="133">
        <f aca="true" t="shared" si="3" ref="C38:H38">SUM(C39:C51)</f>
        <v>310533000000</v>
      </c>
      <c r="D38" s="133">
        <f>SUM(D39:D51)</f>
        <v>264312000000</v>
      </c>
      <c r="E38" s="133">
        <f t="shared" si="3"/>
        <v>46221000000</v>
      </c>
      <c r="F38" s="133">
        <f t="shared" si="3"/>
        <v>352478260109</v>
      </c>
      <c r="G38" s="133">
        <f t="shared" si="3"/>
        <v>281486902761</v>
      </c>
      <c r="H38" s="133">
        <f t="shared" si="3"/>
        <v>70991357348</v>
      </c>
      <c r="I38" s="142">
        <f t="shared" si="0"/>
        <v>113.50750487355612</v>
      </c>
      <c r="J38" s="142">
        <f t="shared" si="1"/>
        <v>106.49796557137019</v>
      </c>
      <c r="K38" s="142">
        <f>H38/E38*100</f>
        <v>153.59113248956103</v>
      </c>
      <c r="M38" s="165"/>
    </row>
    <row r="39" spans="1:11" s="125" customFormat="1" ht="19.5" customHeight="1">
      <c r="A39" s="8"/>
      <c r="B39" s="672" t="s">
        <v>27</v>
      </c>
      <c r="C39" s="673"/>
      <c r="D39" s="131"/>
      <c r="E39" s="132"/>
      <c r="F39" s="132"/>
      <c r="G39" s="132"/>
      <c r="H39" s="132"/>
      <c r="I39" s="142"/>
      <c r="J39" s="142"/>
      <c r="K39" s="142"/>
    </row>
    <row r="40" spans="1:11" s="125" customFormat="1" ht="19.5" customHeight="1">
      <c r="A40" s="118">
        <v>1</v>
      </c>
      <c r="B40" s="129" t="s">
        <v>185</v>
      </c>
      <c r="C40" s="131">
        <f>D40+E40</f>
        <v>7968000000</v>
      </c>
      <c r="D40" s="390">
        <v>4737000000</v>
      </c>
      <c r="E40" s="390">
        <v>3231000000</v>
      </c>
      <c r="F40" s="131">
        <f>G40+H40</f>
        <v>8433686080</v>
      </c>
      <c r="G40" s="131">
        <f>4779876000</f>
        <v>4779876000</v>
      </c>
      <c r="H40" s="131">
        <f>3653810080</f>
        <v>3653810080</v>
      </c>
      <c r="I40" s="135">
        <f t="shared" si="0"/>
        <v>105.84445381526105</v>
      </c>
      <c r="J40" s="135">
        <f t="shared" si="1"/>
        <v>100.9051298290057</v>
      </c>
      <c r="K40" s="135">
        <f>H40/E40*100</f>
        <v>113.08604394924171</v>
      </c>
    </row>
    <row r="41" spans="1:11" s="125" customFormat="1" ht="19.5" customHeight="1">
      <c r="A41" s="118">
        <v>2</v>
      </c>
      <c r="B41" s="129" t="s">
        <v>83</v>
      </c>
      <c r="C41" s="131">
        <f aca="true" t="shared" si="4" ref="C41:C51">D41+E41</f>
        <v>5743000000</v>
      </c>
      <c r="D41" s="390">
        <v>2325000000</v>
      </c>
      <c r="E41" s="390">
        <v>3418000000</v>
      </c>
      <c r="F41" s="131">
        <f aca="true" t="shared" si="5" ref="F41:F51">G41+H41</f>
        <v>5767672419</v>
      </c>
      <c r="G41" s="131">
        <f>2180968000</f>
        <v>2180968000</v>
      </c>
      <c r="H41" s="131">
        <f>3586704419</f>
        <v>3586704419</v>
      </c>
      <c r="I41" s="135">
        <f t="shared" si="0"/>
        <v>100.42960854953857</v>
      </c>
      <c r="J41" s="135">
        <f t="shared" si="1"/>
        <v>93.8050752688172</v>
      </c>
      <c r="K41" s="135">
        <f>H41/E41*100</f>
        <v>104.93576416032768</v>
      </c>
    </row>
    <row r="42" spans="1:11" s="125" customFormat="1" ht="19.5" customHeight="1">
      <c r="A42" s="118">
        <v>3</v>
      </c>
      <c r="B42" s="129" t="s">
        <v>186</v>
      </c>
      <c r="C42" s="131">
        <f t="shared" si="4"/>
        <v>135636000000</v>
      </c>
      <c r="D42" s="390">
        <v>135636000000</v>
      </c>
      <c r="E42" s="137">
        <v>0</v>
      </c>
      <c r="F42" s="131">
        <f t="shared" si="5"/>
        <v>136241590152</v>
      </c>
      <c r="G42" s="131">
        <f>135001790152</f>
        <v>135001790152</v>
      </c>
      <c r="H42" s="131">
        <f>1239800000</f>
        <v>1239800000</v>
      </c>
      <c r="I42" s="135">
        <f t="shared" si="0"/>
        <v>100.44648187206937</v>
      </c>
      <c r="J42" s="135">
        <f t="shared" si="1"/>
        <v>99.53241775929695</v>
      </c>
      <c r="K42" s="135"/>
    </row>
    <row r="43" spans="1:11" s="125" customFormat="1" ht="19.5" customHeight="1">
      <c r="A43" s="118">
        <v>4</v>
      </c>
      <c r="B43" s="130" t="s">
        <v>187</v>
      </c>
      <c r="C43" s="131"/>
      <c r="D43" s="137"/>
      <c r="E43" s="137"/>
      <c r="F43" s="131">
        <f t="shared" si="5"/>
        <v>114644000</v>
      </c>
      <c r="G43" s="131">
        <f>114644000</f>
        <v>114644000</v>
      </c>
      <c r="H43" s="131">
        <v>0</v>
      </c>
      <c r="I43" s="142"/>
      <c r="J43" s="142"/>
      <c r="K43" s="142"/>
    </row>
    <row r="44" spans="1:11" s="125" customFormat="1" ht="19.5" customHeight="1">
      <c r="A44" s="118">
        <v>5</v>
      </c>
      <c r="B44" s="129" t="s">
        <v>188</v>
      </c>
      <c r="C44" s="131"/>
      <c r="D44" s="137"/>
      <c r="E44" s="137"/>
      <c r="F44" s="131"/>
      <c r="G44" s="131"/>
      <c r="H44" s="131"/>
      <c r="I44" s="142"/>
      <c r="J44" s="142"/>
      <c r="K44" s="142"/>
    </row>
    <row r="45" spans="1:11" s="125" customFormat="1" ht="19.5" customHeight="1">
      <c r="A45" s="118">
        <v>6</v>
      </c>
      <c r="B45" s="129" t="s">
        <v>189</v>
      </c>
      <c r="C45" s="131">
        <f t="shared" si="4"/>
        <v>5179000000</v>
      </c>
      <c r="D45" s="390">
        <v>4444000000</v>
      </c>
      <c r="E45" s="390">
        <v>735000000</v>
      </c>
      <c r="F45" s="131">
        <f t="shared" si="5"/>
        <v>8410971825</v>
      </c>
      <c r="G45" s="131">
        <f>(5633158025+1474527900)</f>
        <v>7107685925</v>
      </c>
      <c r="H45" s="131">
        <f>(796407900+506878000)</f>
        <v>1303285900</v>
      </c>
      <c r="I45" s="135">
        <f t="shared" si="0"/>
        <v>162.4053258351033</v>
      </c>
      <c r="J45" s="135">
        <f t="shared" si="1"/>
        <v>159.93892720522052</v>
      </c>
      <c r="K45" s="135">
        <f aca="true" t="shared" si="6" ref="K45:K51">H45/E45*100</f>
        <v>177.31780952380953</v>
      </c>
    </row>
    <row r="46" spans="1:11" s="125" customFormat="1" ht="19.5" customHeight="1">
      <c r="A46" s="118">
        <v>7</v>
      </c>
      <c r="B46" s="129" t="s">
        <v>190</v>
      </c>
      <c r="C46" s="131">
        <f t="shared" si="4"/>
        <v>2469000000</v>
      </c>
      <c r="D46" s="390">
        <v>1734000000</v>
      </c>
      <c r="E46" s="390">
        <v>735000000</v>
      </c>
      <c r="F46" s="131">
        <f t="shared" si="5"/>
        <v>1240707842</v>
      </c>
      <c r="G46" s="131">
        <f>1016654589</f>
        <v>1016654589</v>
      </c>
      <c r="H46" s="131">
        <f>224053253</f>
        <v>224053253</v>
      </c>
      <c r="I46" s="135">
        <f t="shared" si="0"/>
        <v>50.25143142972863</v>
      </c>
      <c r="J46" s="135">
        <f t="shared" si="1"/>
        <v>58.63059913494809</v>
      </c>
      <c r="K46" s="135">
        <f t="shared" si="6"/>
        <v>30.483435782312924</v>
      </c>
    </row>
    <row r="47" spans="1:11" s="125" customFormat="1" ht="19.5" customHeight="1">
      <c r="A47" s="118">
        <v>8</v>
      </c>
      <c r="B47" s="129" t="s">
        <v>191</v>
      </c>
      <c r="C47" s="131">
        <f t="shared" si="4"/>
        <v>8627000000</v>
      </c>
      <c r="D47" s="390">
        <v>8273000000</v>
      </c>
      <c r="E47" s="390">
        <v>354000000</v>
      </c>
      <c r="F47" s="131">
        <f t="shared" si="5"/>
        <v>9586207400</v>
      </c>
      <c r="G47" s="131">
        <f>8584371680</f>
        <v>8584371680</v>
      </c>
      <c r="H47" s="131">
        <f>1001835720</f>
        <v>1001835720</v>
      </c>
      <c r="I47" s="135">
        <f t="shared" si="0"/>
        <v>111.11866697577372</v>
      </c>
      <c r="J47" s="135">
        <f t="shared" si="1"/>
        <v>103.7637094161731</v>
      </c>
      <c r="K47" s="135">
        <f t="shared" si="6"/>
        <v>283.0044406779661</v>
      </c>
    </row>
    <row r="48" spans="1:11" s="125" customFormat="1" ht="19.5" customHeight="1">
      <c r="A48" s="118">
        <v>9</v>
      </c>
      <c r="B48" s="130" t="s">
        <v>89</v>
      </c>
      <c r="C48" s="131">
        <f t="shared" si="4"/>
        <v>57234000000</v>
      </c>
      <c r="D48" s="390">
        <v>54016000000</v>
      </c>
      <c r="E48" s="390">
        <v>3218000000</v>
      </c>
      <c r="F48" s="131">
        <f t="shared" si="5"/>
        <v>86879558874</v>
      </c>
      <c r="G48" s="131">
        <f>78090091872</f>
        <v>78090091872</v>
      </c>
      <c r="H48" s="131">
        <f>8789467002</f>
        <v>8789467002</v>
      </c>
      <c r="I48" s="135">
        <f t="shared" si="0"/>
        <v>151.79711163643987</v>
      </c>
      <c r="J48" s="135">
        <f t="shared" si="1"/>
        <v>144.5684461492891</v>
      </c>
      <c r="K48" s="135">
        <f t="shared" si="6"/>
        <v>273.134462461156</v>
      </c>
    </row>
    <row r="49" spans="1:11" s="125" customFormat="1" ht="31.5">
      <c r="A49" s="118">
        <v>10</v>
      </c>
      <c r="B49" s="129" t="s">
        <v>193</v>
      </c>
      <c r="C49" s="131">
        <f t="shared" si="4"/>
        <v>64762000000</v>
      </c>
      <c r="D49" s="390">
        <v>32616000000</v>
      </c>
      <c r="E49" s="390">
        <v>32146000000</v>
      </c>
      <c r="F49" s="131">
        <f t="shared" si="5"/>
        <v>67051261791</v>
      </c>
      <c r="G49" s="131">
        <f>31951371553</f>
        <v>31951371553</v>
      </c>
      <c r="H49" s="131">
        <f>35099890238</f>
        <v>35099890238</v>
      </c>
      <c r="I49" s="135">
        <f t="shared" si="0"/>
        <v>103.53488433186129</v>
      </c>
      <c r="J49" s="135">
        <f t="shared" si="1"/>
        <v>97.96226254905568</v>
      </c>
      <c r="K49" s="135">
        <f t="shared" si="6"/>
        <v>109.18898226217881</v>
      </c>
    </row>
    <row r="50" spans="1:13" s="125" customFormat="1" ht="19.5" customHeight="1">
      <c r="A50" s="118">
        <v>11</v>
      </c>
      <c r="B50" s="129" t="s">
        <v>194</v>
      </c>
      <c r="C50" s="131">
        <f t="shared" si="4"/>
        <v>19889000000</v>
      </c>
      <c r="D50" s="390">
        <v>18627000000</v>
      </c>
      <c r="E50" s="390">
        <v>1262000000</v>
      </c>
      <c r="F50" s="131">
        <f t="shared" si="5"/>
        <v>22155902754</v>
      </c>
      <c r="G50" s="131">
        <f>10536696990</f>
        <v>10536696990</v>
      </c>
      <c r="H50" s="131">
        <f>11619205764</f>
        <v>11619205764</v>
      </c>
      <c r="I50" s="135">
        <f t="shared" si="0"/>
        <v>111.39777140127708</v>
      </c>
      <c r="J50" s="135">
        <f t="shared" si="1"/>
        <v>56.56679545820583</v>
      </c>
      <c r="K50" s="135">
        <f t="shared" si="6"/>
        <v>920.6977625990492</v>
      </c>
      <c r="M50" s="165"/>
    </row>
    <row r="51" spans="1:11" s="125" customFormat="1" ht="19.5" customHeight="1">
      <c r="A51" s="118">
        <v>12</v>
      </c>
      <c r="B51" s="129" t="s">
        <v>195</v>
      </c>
      <c r="C51" s="131">
        <f t="shared" si="4"/>
        <v>3026000000</v>
      </c>
      <c r="D51" s="390">
        <v>1904000000</v>
      </c>
      <c r="E51" s="390">
        <v>1122000000</v>
      </c>
      <c r="F51" s="131">
        <f t="shared" si="5"/>
        <v>6596056972</v>
      </c>
      <c r="G51" s="131">
        <f>2122752000</f>
        <v>2122752000</v>
      </c>
      <c r="H51" s="131">
        <f>4473304972</f>
        <v>4473304972</v>
      </c>
      <c r="I51" s="135">
        <f t="shared" si="0"/>
        <v>217.97941083939193</v>
      </c>
      <c r="J51" s="135">
        <f t="shared" si="1"/>
        <v>111.4890756302521</v>
      </c>
      <c r="K51" s="135">
        <f t="shared" si="6"/>
        <v>398.6902827094474</v>
      </c>
    </row>
    <row r="52" spans="1:11" s="125" customFormat="1" ht="19.5" customHeight="1">
      <c r="A52" s="8" t="s">
        <v>28</v>
      </c>
      <c r="B52" s="124" t="s">
        <v>29</v>
      </c>
      <c r="C52" s="119"/>
      <c r="D52" s="119"/>
      <c r="E52" s="132"/>
      <c r="F52" s="133"/>
      <c r="G52" s="133"/>
      <c r="H52" s="133"/>
      <c r="I52" s="142"/>
      <c r="J52" s="142"/>
      <c r="K52" s="142"/>
    </row>
    <row r="53" spans="1:11" s="125" customFormat="1" ht="19.5" customHeight="1">
      <c r="A53" s="8" t="s">
        <v>30</v>
      </c>
      <c r="B53" s="124" t="s">
        <v>31</v>
      </c>
      <c r="C53" s="119"/>
      <c r="D53" s="119"/>
      <c r="E53" s="132"/>
      <c r="F53" s="132"/>
      <c r="G53" s="132"/>
      <c r="H53" s="132"/>
      <c r="I53" s="142"/>
      <c r="J53" s="142"/>
      <c r="K53" s="142"/>
    </row>
    <row r="54" spans="1:11" s="9" customFormat="1" ht="19.5" customHeight="1">
      <c r="A54" s="8" t="s">
        <v>32</v>
      </c>
      <c r="B54" s="124" t="s">
        <v>33</v>
      </c>
      <c r="C54" s="138">
        <f>D54+E54</f>
        <v>7560000000</v>
      </c>
      <c r="D54" s="138">
        <v>6833000000</v>
      </c>
      <c r="E54" s="674">
        <v>727000000</v>
      </c>
      <c r="F54" s="132"/>
      <c r="G54" s="132"/>
      <c r="H54" s="132"/>
      <c r="I54" s="142">
        <f t="shared" si="0"/>
        <v>0</v>
      </c>
      <c r="J54" s="142">
        <f t="shared" si="1"/>
        <v>0</v>
      </c>
      <c r="K54" s="142">
        <f>H54/E54*100</f>
        <v>0</v>
      </c>
    </row>
    <row r="55" spans="1:11" s="125" customFormat="1" ht="19.5" customHeight="1">
      <c r="A55" s="8" t="s">
        <v>34</v>
      </c>
      <c r="B55" s="124" t="s">
        <v>35</v>
      </c>
      <c r="C55" s="447">
        <f>D55+E55</f>
        <v>175000000</v>
      </c>
      <c r="D55" s="675">
        <v>175000000</v>
      </c>
      <c r="E55" s="676"/>
      <c r="F55" s="132"/>
      <c r="G55" s="132"/>
      <c r="H55" s="132"/>
      <c r="I55" s="142"/>
      <c r="J55" s="142"/>
      <c r="K55" s="142"/>
    </row>
    <row r="56" spans="1:11" s="125" customFormat="1" ht="19.5" customHeight="1">
      <c r="A56" s="8" t="s">
        <v>77</v>
      </c>
      <c r="B56" s="124" t="s">
        <v>606</v>
      </c>
      <c r="C56" s="138"/>
      <c r="D56" s="677"/>
      <c r="E56" s="132"/>
      <c r="F56" s="133">
        <f>G56+H56</f>
        <v>68244707000</v>
      </c>
      <c r="G56" s="359">
        <f>68244707000</f>
        <v>68244707000</v>
      </c>
      <c r="H56" s="132"/>
      <c r="I56" s="142"/>
      <c r="J56" s="142"/>
      <c r="K56" s="142"/>
    </row>
    <row r="57" spans="1:11" s="125" customFormat="1" ht="19.5" customHeight="1">
      <c r="A57" s="8" t="s">
        <v>607</v>
      </c>
      <c r="B57" s="124" t="s">
        <v>604</v>
      </c>
      <c r="C57" s="138"/>
      <c r="D57" s="677"/>
      <c r="E57" s="132"/>
      <c r="F57" s="133">
        <f>G57+H57</f>
        <v>10428678814</v>
      </c>
      <c r="G57" s="359">
        <f>10428678814</f>
        <v>10428678814</v>
      </c>
      <c r="H57" s="132"/>
      <c r="I57" s="142"/>
      <c r="J57" s="142"/>
      <c r="K57" s="142"/>
    </row>
    <row r="58" spans="1:11" s="334" customFormat="1" ht="19.5" customHeight="1">
      <c r="A58" s="8" t="s">
        <v>6</v>
      </c>
      <c r="B58" s="678" t="s">
        <v>36</v>
      </c>
      <c r="C58" s="673"/>
      <c r="D58" s="131"/>
      <c r="E58" s="132"/>
      <c r="F58" s="132"/>
      <c r="G58" s="132"/>
      <c r="H58" s="132"/>
      <c r="I58" s="142"/>
      <c r="J58" s="142"/>
      <c r="K58" s="142"/>
    </row>
    <row r="59" spans="1:11" s="125" customFormat="1" ht="19.5" customHeight="1">
      <c r="A59" s="8" t="s">
        <v>14</v>
      </c>
      <c r="B59" s="124" t="s">
        <v>37</v>
      </c>
      <c r="C59" s="119"/>
      <c r="D59" s="119"/>
      <c r="E59" s="132"/>
      <c r="F59" s="132"/>
      <c r="G59" s="132"/>
      <c r="H59" s="132"/>
      <c r="I59" s="142"/>
      <c r="J59" s="142"/>
      <c r="K59" s="142"/>
    </row>
    <row r="60" spans="1:11" s="125" customFormat="1" ht="19.5" customHeight="1">
      <c r="A60" s="8" t="s">
        <v>25</v>
      </c>
      <c r="B60" s="124" t="s">
        <v>38</v>
      </c>
      <c r="C60" s="119"/>
      <c r="D60" s="119"/>
      <c r="E60" s="132"/>
      <c r="F60" s="132"/>
      <c r="G60" s="132"/>
      <c r="H60" s="132"/>
      <c r="I60" s="142"/>
      <c r="J60" s="142"/>
      <c r="K60" s="142"/>
    </row>
    <row r="61" spans="1:11" s="395" customFormat="1" ht="19.5" customHeight="1">
      <c r="A61" s="451" t="s">
        <v>39</v>
      </c>
      <c r="B61" s="679" t="s">
        <v>40</v>
      </c>
      <c r="C61" s="679"/>
      <c r="D61" s="679"/>
      <c r="E61" s="679"/>
      <c r="F61" s="392">
        <f>G61+H61</f>
        <v>39871104203</v>
      </c>
      <c r="G61" s="468">
        <f>35732660195</f>
        <v>35732660195</v>
      </c>
      <c r="H61" s="468">
        <f>4138444008</f>
        <v>4138444008</v>
      </c>
      <c r="I61" s="467"/>
      <c r="J61" s="467"/>
      <c r="K61" s="467"/>
    </row>
    <row r="62" spans="1:11" s="421" customFormat="1" ht="19.5" customHeight="1">
      <c r="A62" s="451" t="s">
        <v>196</v>
      </c>
      <c r="B62" s="679" t="s">
        <v>605</v>
      </c>
      <c r="C62" s="680"/>
      <c r="D62" s="373"/>
      <c r="E62" s="681"/>
      <c r="F62" s="392">
        <f>G62+H62</f>
        <v>1831281300</v>
      </c>
      <c r="G62" s="448">
        <f>1629416500</f>
        <v>1629416500</v>
      </c>
      <c r="H62" s="448">
        <f>201864800</f>
        <v>201864800</v>
      </c>
      <c r="I62" s="467"/>
      <c r="J62" s="467"/>
      <c r="K62" s="467"/>
    </row>
    <row r="63" spans="1:11" ht="15.75">
      <c r="A63" s="44"/>
      <c r="B63" s="348"/>
      <c r="C63" s="45"/>
      <c r="D63" s="45"/>
      <c r="E63" s="45"/>
      <c r="F63" s="349"/>
      <c r="G63" s="350"/>
      <c r="H63" s="351"/>
      <c r="I63" s="45"/>
      <c r="J63" s="45"/>
      <c r="K63" s="45"/>
    </row>
    <row r="64" spans="1:11" ht="15.75">
      <c r="A64" s="44"/>
      <c r="B64" s="348"/>
      <c r="C64" s="45"/>
      <c r="D64" s="45"/>
      <c r="E64" s="45"/>
      <c r="F64" s="349"/>
      <c r="G64" s="350"/>
      <c r="H64" s="351"/>
      <c r="I64" s="45"/>
      <c r="J64" s="45"/>
      <c r="K64" s="45"/>
    </row>
    <row r="65" spans="1:11" ht="15.75">
      <c r="A65" s="44"/>
      <c r="B65" s="348"/>
      <c r="C65" s="45"/>
      <c r="D65" s="45"/>
      <c r="E65" s="45"/>
      <c r="F65" s="349"/>
      <c r="G65" s="350"/>
      <c r="H65" s="351"/>
      <c r="I65" s="45"/>
      <c r="J65" s="45"/>
      <c r="K65" s="45"/>
    </row>
    <row r="66" spans="1:11" ht="15.75">
      <c r="A66" s="44"/>
      <c r="B66" s="348"/>
      <c r="C66" s="45"/>
      <c r="D66" s="45"/>
      <c r="E66" s="45"/>
      <c r="F66" s="349"/>
      <c r="G66" s="350"/>
      <c r="H66" s="351"/>
      <c r="I66" s="45"/>
      <c r="J66" s="45"/>
      <c r="K66" s="45"/>
    </row>
    <row r="67" spans="1:11" ht="15.75">
      <c r="A67" s="44"/>
      <c r="B67" s="348"/>
      <c r="C67" s="45"/>
      <c r="D67" s="45"/>
      <c r="E67" s="45"/>
      <c r="F67" s="349"/>
      <c r="G67" s="350"/>
      <c r="H67" s="351"/>
      <c r="I67" s="45"/>
      <c r="J67" s="45"/>
      <c r="K67" s="45"/>
    </row>
    <row r="68" spans="1:11" ht="15.75">
      <c r="A68" s="44"/>
      <c r="B68" s="348"/>
      <c r="C68" s="45"/>
      <c r="D68" s="45"/>
      <c r="E68" s="45"/>
      <c r="F68" s="349"/>
      <c r="G68" s="350"/>
      <c r="H68" s="351"/>
      <c r="I68" s="45"/>
      <c r="J68" s="45"/>
      <c r="K68" s="45"/>
    </row>
    <row r="69" spans="1:11" ht="15.75">
      <c r="A69" s="44"/>
      <c r="B69" s="348"/>
      <c r="C69" s="45"/>
      <c r="D69" s="45"/>
      <c r="E69" s="45"/>
      <c r="F69" s="349"/>
      <c r="G69" s="350"/>
      <c r="H69" s="351"/>
      <c r="I69" s="45"/>
      <c r="J69" s="45"/>
      <c r="K69" s="45"/>
    </row>
    <row r="70" spans="1:11" ht="15.75">
      <c r="A70" s="44"/>
      <c r="B70" s="348"/>
      <c r="C70" s="45"/>
      <c r="D70" s="45"/>
      <c r="E70" s="45"/>
      <c r="F70" s="349"/>
      <c r="G70" s="350"/>
      <c r="H70" s="351"/>
      <c r="I70" s="45"/>
      <c r="J70" s="45"/>
      <c r="K70" s="45"/>
    </row>
    <row r="71" spans="1:11" ht="15.75">
      <c r="A71" s="44"/>
      <c r="B71" s="348"/>
      <c r="C71" s="45"/>
      <c r="D71" s="45"/>
      <c r="E71" s="45"/>
      <c r="F71" s="349"/>
      <c r="G71" s="350"/>
      <c r="H71" s="351"/>
      <c r="I71" s="45"/>
      <c r="J71" s="45"/>
      <c r="K71" s="45"/>
    </row>
    <row r="72" spans="1:11" ht="15.75">
      <c r="A72" s="44"/>
      <c r="B72" s="348"/>
      <c r="C72" s="45"/>
      <c r="D72" s="45"/>
      <c r="E72" s="45"/>
      <c r="F72" s="349"/>
      <c r="G72" s="350"/>
      <c r="H72" s="351"/>
      <c r="I72" s="45"/>
      <c r="J72" s="45"/>
      <c r="K72" s="45"/>
    </row>
    <row r="73" spans="1:11" ht="15.75">
      <c r="A73" s="44"/>
      <c r="B73" s="348"/>
      <c r="C73" s="45"/>
      <c r="D73" s="45"/>
      <c r="E73" s="45"/>
      <c r="F73" s="349"/>
      <c r="G73" s="350"/>
      <c r="H73" s="351"/>
      <c r="I73" s="45"/>
      <c r="J73" s="45"/>
      <c r="K73" s="45"/>
    </row>
    <row r="74" spans="1:11" ht="15.75">
      <c r="A74" s="44"/>
      <c r="B74" s="348"/>
      <c r="C74" s="45"/>
      <c r="D74" s="45"/>
      <c r="E74" s="45"/>
      <c r="F74" s="349"/>
      <c r="G74" s="350"/>
      <c r="H74" s="351"/>
      <c r="I74" s="45"/>
      <c r="J74" s="45"/>
      <c r="K74" s="45"/>
    </row>
    <row r="75" spans="1:11" ht="15.75">
      <c r="A75" s="44"/>
      <c r="B75" s="348"/>
      <c r="C75" s="45"/>
      <c r="D75" s="45"/>
      <c r="E75" s="45"/>
      <c r="F75" s="349"/>
      <c r="G75" s="350"/>
      <c r="H75" s="351"/>
      <c r="I75" s="45"/>
      <c r="J75" s="45"/>
      <c r="K75" s="45"/>
    </row>
    <row r="76" spans="1:11" ht="15.75">
      <c r="A76" s="44"/>
      <c r="B76" s="348"/>
      <c r="C76" s="45"/>
      <c r="D76" s="45"/>
      <c r="E76" s="45"/>
      <c r="F76" s="349"/>
      <c r="G76" s="350"/>
      <c r="H76" s="351"/>
      <c r="I76" s="45"/>
      <c r="J76" s="45"/>
      <c r="K76" s="45"/>
    </row>
    <row r="77" spans="1:11" ht="15.75">
      <c r="A77" s="44"/>
      <c r="B77" s="348"/>
      <c r="C77" s="45"/>
      <c r="D77" s="45"/>
      <c r="E77" s="45"/>
      <c r="F77" s="349"/>
      <c r="G77" s="350"/>
      <c r="H77" s="351"/>
      <c r="I77" s="45"/>
      <c r="J77" s="45"/>
      <c r="K77" s="45"/>
    </row>
    <row r="78" spans="1:11" ht="15.75">
      <c r="A78" s="44"/>
      <c r="B78" s="348"/>
      <c r="C78" s="45"/>
      <c r="D78" s="45"/>
      <c r="E78" s="45"/>
      <c r="F78" s="349"/>
      <c r="G78" s="350"/>
      <c r="H78" s="351"/>
      <c r="I78" s="45"/>
      <c r="J78" s="45"/>
      <c r="K78" s="45"/>
    </row>
    <row r="79" spans="1:11" ht="15.75">
      <c r="A79" s="44"/>
      <c r="B79" s="348"/>
      <c r="C79" s="45"/>
      <c r="D79" s="45"/>
      <c r="E79" s="45"/>
      <c r="F79" s="349"/>
      <c r="G79" s="350"/>
      <c r="H79" s="351"/>
      <c r="I79" s="45"/>
      <c r="J79" s="45"/>
      <c r="K79" s="45"/>
    </row>
    <row r="80" spans="1:2" ht="25.5" customHeight="1">
      <c r="A80" s="18"/>
      <c r="B80" s="18"/>
    </row>
    <row r="81" spans="1:2" ht="16.5" customHeight="1">
      <c r="A81" s="18"/>
      <c r="B81" s="18"/>
    </row>
    <row r="82" ht="15.75">
      <c r="A82" s="18"/>
    </row>
    <row r="83" spans="1:11" ht="15.75">
      <c r="A83"/>
      <c r="B83"/>
      <c r="C83"/>
      <c r="D83"/>
      <c r="E83"/>
      <c r="F83"/>
      <c r="G83"/>
      <c r="H83"/>
      <c r="I83"/>
      <c r="J83"/>
      <c r="K83"/>
    </row>
    <row r="84" spans="1:11" ht="15.75">
      <c r="A84"/>
      <c r="B84"/>
      <c r="C84"/>
      <c r="D84"/>
      <c r="E84"/>
      <c r="F84"/>
      <c r="G84"/>
      <c r="H84"/>
      <c r="I84"/>
      <c r="J84"/>
      <c r="K84"/>
    </row>
    <row r="86" spans="1:2" ht="20.25" customHeight="1">
      <c r="A86" s="18"/>
      <c r="B86" s="18"/>
    </row>
    <row r="87" spans="1:2" ht="20.25" customHeight="1">
      <c r="A87" s="18"/>
      <c r="B87" s="18"/>
    </row>
    <row r="88" spans="1:2" ht="20.25" customHeight="1">
      <c r="A88" s="18"/>
      <c r="B88" s="18"/>
    </row>
    <row r="106" spans="1:11" ht="24.75" customHeight="1">
      <c r="A106" s="15">
        <f aca="true" t="shared" si="7" ref="A106:A116">A105+1</f>
        <v>1</v>
      </c>
      <c r="B106" s="21" t="s">
        <v>41</v>
      </c>
      <c r="C106" s="17"/>
      <c r="D106" s="12"/>
      <c r="E106" s="13"/>
      <c r="F106" s="13"/>
      <c r="G106" s="13"/>
      <c r="H106" s="13"/>
      <c r="I106" s="13"/>
      <c r="J106" s="13"/>
      <c r="K106" s="13"/>
    </row>
    <row r="107" spans="1:11" ht="24.75" customHeight="1">
      <c r="A107" s="15">
        <f t="shared" si="7"/>
        <v>2</v>
      </c>
      <c r="B107" s="21" t="s">
        <v>42</v>
      </c>
      <c r="C107" s="17"/>
      <c r="D107" s="12"/>
      <c r="E107" s="13"/>
      <c r="F107" s="13"/>
      <c r="G107" s="13"/>
      <c r="H107" s="13"/>
      <c r="I107" s="13"/>
      <c r="J107" s="13"/>
      <c r="K107" s="13"/>
    </row>
    <row r="108" spans="1:11" ht="24.75" customHeight="1">
      <c r="A108" s="15">
        <f t="shared" si="7"/>
        <v>3</v>
      </c>
      <c r="B108" s="21" t="s">
        <v>43</v>
      </c>
      <c r="C108" s="17"/>
      <c r="D108" s="12"/>
      <c r="E108" s="13"/>
      <c r="F108" s="13"/>
      <c r="G108" s="13"/>
      <c r="H108" s="13"/>
      <c r="I108" s="13"/>
      <c r="J108" s="13"/>
      <c r="K108" s="13"/>
    </row>
    <row r="109" spans="1:11" ht="24.75" customHeight="1">
      <c r="A109" s="15">
        <f t="shared" si="7"/>
        <v>4</v>
      </c>
      <c r="B109" s="21" t="s">
        <v>44</v>
      </c>
      <c r="C109" s="17"/>
      <c r="D109" s="12"/>
      <c r="E109" s="13"/>
      <c r="F109" s="13"/>
      <c r="G109" s="13"/>
      <c r="H109" s="13"/>
      <c r="I109" s="13"/>
      <c r="J109" s="13"/>
      <c r="K109" s="13"/>
    </row>
    <row r="110" spans="1:11" ht="24.75" customHeight="1">
      <c r="A110" s="15">
        <f t="shared" si="7"/>
        <v>5</v>
      </c>
      <c r="B110" s="21" t="s">
        <v>45</v>
      </c>
      <c r="C110" s="17"/>
      <c r="D110" s="12"/>
      <c r="E110" s="13"/>
      <c r="F110" s="13"/>
      <c r="G110" s="13"/>
      <c r="H110" s="13"/>
      <c r="I110" s="13"/>
      <c r="J110" s="13"/>
      <c r="K110" s="13"/>
    </row>
    <row r="111" spans="1:11" ht="24.75" customHeight="1">
      <c r="A111" s="15">
        <f t="shared" si="7"/>
        <v>6</v>
      </c>
      <c r="B111" s="21" t="s">
        <v>46</v>
      </c>
      <c r="C111" s="17"/>
      <c r="D111" s="12"/>
      <c r="E111" s="13"/>
      <c r="F111" s="13"/>
      <c r="G111" s="13"/>
      <c r="H111" s="13"/>
      <c r="I111" s="13"/>
      <c r="J111" s="13"/>
      <c r="K111" s="13"/>
    </row>
    <row r="112" spans="1:11" ht="24.75" customHeight="1">
      <c r="A112" s="15">
        <f t="shared" si="7"/>
        <v>7</v>
      </c>
      <c r="B112" s="21" t="s">
        <v>47</v>
      </c>
      <c r="C112" s="17"/>
      <c r="D112" s="12"/>
      <c r="E112" s="13"/>
      <c r="F112" s="13"/>
      <c r="G112" s="13"/>
      <c r="H112" s="13"/>
      <c r="I112" s="13"/>
      <c r="J112" s="13"/>
      <c r="K112" s="13"/>
    </row>
    <row r="113" spans="1:11" ht="24.75" customHeight="1">
      <c r="A113" s="15">
        <f t="shared" si="7"/>
        <v>8</v>
      </c>
      <c r="B113" s="21" t="s">
        <v>48</v>
      </c>
      <c r="C113" s="17"/>
      <c r="D113" s="12"/>
      <c r="E113" s="13"/>
      <c r="F113" s="13"/>
      <c r="G113" s="13"/>
      <c r="H113" s="13"/>
      <c r="I113" s="13"/>
      <c r="J113" s="13"/>
      <c r="K113" s="13"/>
    </row>
    <row r="114" spans="1:11" ht="24.75" customHeight="1">
      <c r="A114" s="15">
        <f t="shared" si="7"/>
        <v>9</v>
      </c>
      <c r="B114" s="21" t="s">
        <v>49</v>
      </c>
      <c r="C114" s="17"/>
      <c r="D114" s="12"/>
      <c r="E114" s="13"/>
      <c r="F114" s="13"/>
      <c r="G114" s="13"/>
      <c r="H114" s="13"/>
      <c r="I114" s="13"/>
      <c r="J114" s="13"/>
      <c r="K114" s="13"/>
    </row>
    <row r="115" spans="1:11" ht="24.75" customHeight="1">
      <c r="A115" s="15">
        <f t="shared" si="7"/>
        <v>10</v>
      </c>
      <c r="B115" s="21" t="s">
        <v>50</v>
      </c>
      <c r="C115" s="17"/>
      <c r="D115" s="12"/>
      <c r="E115" s="13"/>
      <c r="F115" s="13"/>
      <c r="G115" s="13"/>
      <c r="H115" s="13"/>
      <c r="I115" s="13"/>
      <c r="J115" s="13"/>
      <c r="K115" s="13"/>
    </row>
    <row r="116" spans="1:11" ht="24.75" customHeight="1">
      <c r="A116" s="15">
        <f t="shared" si="7"/>
        <v>11</v>
      </c>
      <c r="B116" s="21" t="s">
        <v>51</v>
      </c>
      <c r="C116" s="20"/>
      <c r="D116" s="20"/>
      <c r="E116" s="13"/>
      <c r="F116" s="13"/>
      <c r="G116" s="13"/>
      <c r="H116" s="13"/>
      <c r="I116" s="13"/>
      <c r="J116" s="13"/>
      <c r="K116" s="13"/>
    </row>
    <row r="118" spans="1:11" ht="30" customHeight="1">
      <c r="A118" s="10" t="s">
        <v>25</v>
      </c>
      <c r="B118" s="11" t="s">
        <v>26</v>
      </c>
      <c r="C118" s="17"/>
      <c r="D118" s="12"/>
      <c r="E118" s="13"/>
      <c r="F118" s="13"/>
      <c r="G118" s="13"/>
      <c r="H118" s="13"/>
      <c r="I118" s="13"/>
      <c r="J118" s="13"/>
      <c r="K118" s="14"/>
    </row>
    <row r="119" spans="1:11" ht="30" customHeight="1">
      <c r="A119" s="15"/>
      <c r="B119" s="16" t="s">
        <v>52</v>
      </c>
      <c r="C119" s="17"/>
      <c r="D119" s="12"/>
      <c r="E119" s="13"/>
      <c r="F119" s="13"/>
      <c r="G119" s="13"/>
      <c r="H119" s="13"/>
      <c r="I119" s="13"/>
      <c r="J119" s="13"/>
      <c r="K119" s="14"/>
    </row>
    <row r="120" spans="1:11" ht="30" customHeight="1">
      <c r="A120" s="19" t="s">
        <v>18</v>
      </c>
      <c r="B120" s="16" t="s">
        <v>19</v>
      </c>
      <c r="C120" s="17"/>
      <c r="D120" s="12"/>
      <c r="E120" s="13"/>
      <c r="F120" s="13"/>
      <c r="G120" s="13"/>
      <c r="H120" s="13"/>
      <c r="I120" s="13"/>
      <c r="J120" s="13"/>
      <c r="K120" s="14"/>
    </row>
    <row r="121" spans="1:11" ht="30" customHeight="1">
      <c r="A121" s="19" t="s">
        <v>18</v>
      </c>
      <c r="B121" s="16" t="s">
        <v>20</v>
      </c>
      <c r="C121" s="17"/>
      <c r="D121" s="12"/>
      <c r="E121" s="13"/>
      <c r="F121" s="13"/>
      <c r="G121" s="13"/>
      <c r="H121" s="13"/>
      <c r="I121" s="13"/>
      <c r="J121" s="13"/>
      <c r="K121" s="14"/>
    </row>
    <row r="122" spans="1:11" ht="30" customHeight="1">
      <c r="A122" s="15">
        <v>1</v>
      </c>
      <c r="B122" s="16" t="s">
        <v>53</v>
      </c>
      <c r="C122" s="17"/>
      <c r="D122" s="12"/>
      <c r="E122" s="13"/>
      <c r="F122" s="13"/>
      <c r="G122" s="13"/>
      <c r="H122" s="13"/>
      <c r="I122" s="13"/>
      <c r="J122" s="13"/>
      <c r="K122" s="14"/>
    </row>
    <row r="123" spans="1:11" ht="30" customHeight="1">
      <c r="A123" s="15" t="s">
        <v>54</v>
      </c>
      <c r="B123" s="16" t="s">
        <v>55</v>
      </c>
      <c r="C123" s="17"/>
      <c r="D123" s="12"/>
      <c r="E123" s="13"/>
      <c r="F123" s="13"/>
      <c r="G123" s="13"/>
      <c r="H123" s="13"/>
      <c r="I123" s="13"/>
      <c r="J123" s="13"/>
      <c r="K123" s="14"/>
    </row>
    <row r="124" spans="1:11" ht="30" customHeight="1">
      <c r="A124" s="15" t="s">
        <v>56</v>
      </c>
      <c r="B124" s="16" t="s">
        <v>57</v>
      </c>
      <c r="C124" s="17"/>
      <c r="D124" s="12"/>
      <c r="E124" s="13"/>
      <c r="F124" s="13"/>
      <c r="G124" s="13"/>
      <c r="H124" s="13"/>
      <c r="I124" s="13"/>
      <c r="J124" s="13"/>
      <c r="K124" s="14"/>
    </row>
    <row r="125" spans="1:11" ht="30" customHeight="1">
      <c r="A125" s="15" t="s">
        <v>58</v>
      </c>
      <c r="B125" s="16" t="s">
        <v>59</v>
      </c>
      <c r="C125" s="17"/>
      <c r="D125" s="12"/>
      <c r="E125" s="13"/>
      <c r="F125" s="13"/>
      <c r="G125" s="13"/>
      <c r="H125" s="13"/>
      <c r="I125" s="13"/>
      <c r="J125" s="13"/>
      <c r="K125" s="14"/>
    </row>
    <row r="126" spans="1:11" ht="30" customHeight="1">
      <c r="A126" s="15">
        <v>2</v>
      </c>
      <c r="B126" s="16" t="s">
        <v>60</v>
      </c>
      <c r="C126" s="17"/>
      <c r="D126" s="12"/>
      <c r="E126" s="13"/>
      <c r="F126" s="13"/>
      <c r="G126" s="13"/>
      <c r="H126" s="13"/>
      <c r="I126" s="13"/>
      <c r="J126" s="13"/>
      <c r="K126" s="14"/>
    </row>
  </sheetData>
  <sheetProtection/>
  <mergeCells count="26">
    <mergeCell ref="C2:K2"/>
    <mergeCell ref="C3:K3"/>
    <mergeCell ref="A5:K5"/>
    <mergeCell ref="A6:K6"/>
    <mergeCell ref="A7:K7"/>
    <mergeCell ref="A8:K8"/>
    <mergeCell ref="I12:K12"/>
    <mergeCell ref="D13:D16"/>
    <mergeCell ref="A1:B1"/>
    <mergeCell ref="A2:B2"/>
    <mergeCell ref="A3:B3"/>
    <mergeCell ref="C1:K1"/>
    <mergeCell ref="A9:K9"/>
    <mergeCell ref="A12:A16"/>
    <mergeCell ref="E13:E16"/>
    <mergeCell ref="I13:I16"/>
    <mergeCell ref="J13:J16"/>
    <mergeCell ref="F11:K11"/>
    <mergeCell ref="C12:C16"/>
    <mergeCell ref="D12:E12"/>
    <mergeCell ref="F12:F16"/>
    <mergeCell ref="G12:H12"/>
    <mergeCell ref="G13:G16"/>
    <mergeCell ref="H13:H16"/>
    <mergeCell ref="K13:K16"/>
    <mergeCell ref="B12:B16"/>
  </mergeCells>
  <printOptions horizontalCentered="1"/>
  <pageMargins left="0.31496062992125984" right="0.31496062992125984" top="0.5905511811023623" bottom="0.2362204724409449" header="0.35433070866141736" footer="0.1968503937007874"/>
  <pageSetup fitToHeight="5" horizontalDpi="600" verticalDpi="600" orientation="landscape" paperSize="9" scale="70" r:id="rId1"/>
  <headerFooter alignWithMargins="0">
    <oddFooter>&amp;C&amp;".VnTime,Italic"&amp;8
</oddFooter>
  </headerFooter>
</worksheet>
</file>

<file path=xl/worksheets/sheet7.xml><?xml version="1.0" encoding="utf-8"?>
<worksheet xmlns="http://schemas.openxmlformats.org/spreadsheetml/2006/main" xmlns:r="http://schemas.openxmlformats.org/officeDocument/2006/relationships">
  <sheetPr>
    <tabColor rgb="FF00B0F0"/>
  </sheetPr>
  <dimension ref="A1:Y101"/>
  <sheetViews>
    <sheetView zoomScale="70" zoomScaleNormal="70" workbookViewId="0" topLeftCell="A58">
      <selection activeCell="A7" sqref="A7:W7"/>
    </sheetView>
  </sheetViews>
  <sheetFormatPr defaultColWidth="8.796875" defaultRowHeight="15"/>
  <cols>
    <col min="1" max="1" width="5.09765625" style="3" customWidth="1"/>
    <col min="2" max="2" width="35.3984375" style="3" customWidth="1"/>
    <col min="3" max="3" width="9.5" style="3" customWidth="1"/>
    <col min="4" max="4" width="9" style="3" customWidth="1"/>
    <col min="5" max="5" width="10.19921875" style="3" customWidth="1"/>
    <col min="6" max="6" width="8.09765625" style="3" customWidth="1"/>
    <col min="7" max="7" width="7.09765625" style="3" customWidth="1"/>
    <col min="8" max="8" width="5.59765625" style="3" customWidth="1"/>
    <col min="9" max="9" width="9.19921875" style="3" customWidth="1"/>
    <col min="10" max="11" width="9.5" style="3" customWidth="1"/>
    <col min="12" max="12" width="6.5" style="3" customWidth="1"/>
    <col min="13" max="13" width="6.3984375" style="3" customWidth="1"/>
    <col min="14" max="14" width="5.3984375" style="3" customWidth="1"/>
    <col min="15" max="15" width="6.09765625" style="3" customWidth="1"/>
    <col min="16" max="16" width="5.19921875" style="3" customWidth="1"/>
    <col min="17" max="17" width="7.09765625" style="450" customWidth="1"/>
    <col min="18" max="18" width="7.5" style="450" customWidth="1"/>
    <col min="19" max="19" width="8.3984375" style="450" customWidth="1"/>
    <col min="20" max="21" width="7.09765625" style="3" customWidth="1"/>
    <col min="22" max="22" width="6.69921875" style="3" customWidth="1"/>
    <col min="23" max="23" width="7.69921875" style="3" customWidth="1"/>
    <col min="24" max="24" width="7.59765625" style="3" customWidth="1"/>
    <col min="25" max="25" width="9.19921875" style="3" customWidth="1"/>
    <col min="26" max="16384" width="9" style="3" customWidth="1"/>
  </cols>
  <sheetData>
    <row r="1" spans="1:24" ht="16.5">
      <c r="A1" s="832" t="s">
        <v>794</v>
      </c>
      <c r="B1" s="832"/>
      <c r="C1" s="832"/>
      <c r="D1" s="832"/>
      <c r="E1" s="832"/>
      <c r="I1" s="126"/>
      <c r="J1" s="126"/>
      <c r="K1" s="832" t="s">
        <v>809</v>
      </c>
      <c r="L1" s="832"/>
      <c r="M1" s="832"/>
      <c r="N1" s="832"/>
      <c r="O1" s="832"/>
      <c r="P1" s="832"/>
      <c r="Q1" s="832"/>
      <c r="R1" s="832"/>
      <c r="S1" s="832"/>
      <c r="T1" s="832"/>
      <c r="U1" s="832"/>
      <c r="V1" s="832"/>
      <c r="W1" s="832"/>
      <c r="X1" s="832"/>
    </row>
    <row r="2" spans="1:24" ht="16.5">
      <c r="A2" s="833" t="s">
        <v>260</v>
      </c>
      <c r="B2" s="833"/>
      <c r="C2" s="833"/>
      <c r="D2" s="833"/>
      <c r="E2" s="833"/>
      <c r="I2" s="126"/>
      <c r="J2" s="126"/>
      <c r="K2" s="834" t="s">
        <v>810</v>
      </c>
      <c r="L2" s="834"/>
      <c r="M2" s="834"/>
      <c r="N2" s="834"/>
      <c r="O2" s="834"/>
      <c r="P2" s="834"/>
      <c r="Q2" s="834"/>
      <c r="R2" s="834"/>
      <c r="S2" s="834"/>
      <c r="T2" s="834"/>
      <c r="U2" s="834"/>
      <c r="V2" s="834"/>
      <c r="W2" s="834"/>
      <c r="X2" s="834"/>
    </row>
    <row r="3" spans="1:24" ht="15.75">
      <c r="A3" s="810" t="s">
        <v>811</v>
      </c>
      <c r="B3" s="810"/>
      <c r="C3" s="810"/>
      <c r="D3" s="810"/>
      <c r="E3" s="810"/>
      <c r="I3" s="126"/>
      <c r="J3" s="126"/>
      <c r="K3" s="821" t="s">
        <v>802</v>
      </c>
      <c r="L3" s="821"/>
      <c r="M3" s="821"/>
      <c r="N3" s="821"/>
      <c r="O3" s="821"/>
      <c r="P3" s="821"/>
      <c r="Q3" s="821"/>
      <c r="R3" s="821"/>
      <c r="S3" s="821"/>
      <c r="T3" s="821"/>
      <c r="U3" s="821"/>
      <c r="V3" s="821"/>
      <c r="W3" s="821"/>
      <c r="X3" s="821"/>
    </row>
    <row r="4" spans="1:24" ht="20.25">
      <c r="A4" s="818"/>
      <c r="B4" s="692"/>
      <c r="C4" s="823"/>
      <c r="D4" s="824"/>
      <c r="E4" s="824"/>
      <c r="F4" s="824"/>
      <c r="G4" s="824"/>
      <c r="H4" s="824"/>
      <c r="I4" s="126"/>
      <c r="J4" s="126"/>
      <c r="K4" s="126"/>
      <c r="L4" s="693"/>
      <c r="M4" s="693"/>
      <c r="N4" s="693"/>
      <c r="O4" s="693"/>
      <c r="P4" s="693"/>
      <c r="Q4" s="693"/>
      <c r="R4" s="693"/>
      <c r="S4" s="693"/>
      <c r="T4" s="693"/>
      <c r="U4" s="693"/>
      <c r="V4" s="693"/>
      <c r="W4" s="693"/>
      <c r="X4" s="693"/>
    </row>
    <row r="5" spans="1:24" ht="24.75" customHeight="1">
      <c r="A5" s="825" t="s">
        <v>825</v>
      </c>
      <c r="B5" s="825"/>
      <c r="C5" s="825"/>
      <c r="D5" s="825"/>
      <c r="E5" s="825"/>
      <c r="F5" s="825"/>
      <c r="G5" s="825"/>
      <c r="H5" s="825"/>
      <c r="I5" s="825"/>
      <c r="J5" s="825"/>
      <c r="K5" s="825"/>
      <c r="L5" s="825"/>
      <c r="M5" s="825"/>
      <c r="N5" s="825"/>
      <c r="O5" s="825"/>
      <c r="P5" s="825"/>
      <c r="Q5" s="825"/>
      <c r="R5" s="825"/>
      <c r="S5" s="825"/>
      <c r="T5" s="825"/>
      <c r="U5" s="825"/>
      <c r="V5" s="825"/>
      <c r="W5" s="825"/>
      <c r="X5" s="825"/>
    </row>
    <row r="6" spans="1:24" ht="18.75">
      <c r="A6" s="727" t="s">
        <v>480</v>
      </c>
      <c r="B6" s="727"/>
      <c r="C6" s="727"/>
      <c r="D6" s="727"/>
      <c r="E6" s="727"/>
      <c r="F6" s="727"/>
      <c r="G6" s="727"/>
      <c r="H6" s="727"/>
      <c r="I6" s="727"/>
      <c r="J6" s="727"/>
      <c r="K6" s="727"/>
      <c r="L6" s="727"/>
      <c r="M6" s="727"/>
      <c r="N6" s="727"/>
      <c r="O6" s="727"/>
      <c r="P6" s="727"/>
      <c r="Q6" s="727"/>
      <c r="R6" s="727"/>
      <c r="S6" s="727"/>
      <c r="T6" s="727"/>
      <c r="U6" s="727"/>
      <c r="V6" s="727"/>
      <c r="W6" s="727"/>
      <c r="X6" s="727"/>
    </row>
    <row r="7" spans="1:23" ht="18.75">
      <c r="A7" s="847" t="s">
        <v>800</v>
      </c>
      <c r="B7" s="847"/>
      <c r="C7" s="847"/>
      <c r="D7" s="847"/>
      <c r="E7" s="847"/>
      <c r="F7" s="847"/>
      <c r="G7" s="847"/>
      <c r="H7" s="847"/>
      <c r="I7" s="847"/>
      <c r="J7" s="847"/>
      <c r="K7" s="847"/>
      <c r="L7" s="847"/>
      <c r="M7" s="847"/>
      <c r="N7" s="847"/>
      <c r="O7" s="847"/>
      <c r="P7" s="847"/>
      <c r="Q7" s="847"/>
      <c r="R7" s="847"/>
      <c r="S7" s="847"/>
      <c r="T7" s="847"/>
      <c r="U7" s="847"/>
      <c r="V7" s="847"/>
      <c r="W7" s="847"/>
    </row>
    <row r="8" spans="1:24" ht="15.75">
      <c r="A8" s="846" t="s">
        <v>824</v>
      </c>
      <c r="B8" s="846"/>
      <c r="C8" s="846"/>
      <c r="D8" s="846"/>
      <c r="E8" s="846"/>
      <c r="F8" s="846"/>
      <c r="G8" s="846"/>
      <c r="H8" s="846"/>
      <c r="I8" s="846"/>
      <c r="J8" s="846"/>
      <c r="K8" s="846"/>
      <c r="L8" s="846"/>
      <c r="M8" s="846"/>
      <c r="N8" s="846"/>
      <c r="O8" s="846"/>
      <c r="P8" s="846"/>
      <c r="Q8" s="846"/>
      <c r="R8" s="846"/>
      <c r="S8" s="846"/>
      <c r="T8" s="846"/>
      <c r="U8" s="846"/>
      <c r="V8" s="846"/>
      <c r="W8" s="846"/>
      <c r="X8" s="846"/>
    </row>
    <row r="9" spans="1:24" ht="20.25">
      <c r="A9" s="5"/>
      <c r="B9" s="5"/>
      <c r="M9" s="40"/>
      <c r="N9" s="40"/>
      <c r="O9" s="40"/>
      <c r="P9" s="40"/>
      <c r="Q9" s="464"/>
      <c r="R9" s="464"/>
      <c r="S9" s="464"/>
      <c r="T9" s="40"/>
      <c r="U9" s="713" t="s">
        <v>0</v>
      </c>
      <c r="V9" s="713"/>
      <c r="W9" s="713"/>
      <c r="X9" s="713"/>
    </row>
    <row r="10" spans="1:24" s="125" customFormat="1" ht="27" customHeight="1">
      <c r="A10" s="708" t="s">
        <v>62</v>
      </c>
      <c r="B10" s="710" t="s">
        <v>69</v>
      </c>
      <c r="C10" s="717" t="s">
        <v>1</v>
      </c>
      <c r="D10" s="718"/>
      <c r="E10" s="718"/>
      <c r="F10" s="718"/>
      <c r="G10" s="718"/>
      <c r="H10" s="719"/>
      <c r="I10" s="717" t="s">
        <v>3</v>
      </c>
      <c r="J10" s="718"/>
      <c r="K10" s="718"/>
      <c r="L10" s="718"/>
      <c r="M10" s="718"/>
      <c r="N10" s="718"/>
      <c r="O10" s="718"/>
      <c r="P10" s="718"/>
      <c r="Q10" s="718"/>
      <c r="R10" s="718"/>
      <c r="S10" s="718"/>
      <c r="T10" s="719"/>
      <c r="U10" s="721" t="s">
        <v>4</v>
      </c>
      <c r="V10" s="722"/>
      <c r="W10" s="722"/>
      <c r="X10" s="723"/>
    </row>
    <row r="11" spans="1:24" s="125" customFormat="1" ht="33.75" customHeight="1">
      <c r="A11" s="710"/>
      <c r="B11" s="711"/>
      <c r="C11" s="708" t="s">
        <v>63</v>
      </c>
      <c r="D11" s="708" t="s">
        <v>174</v>
      </c>
      <c r="E11" s="708" t="s">
        <v>175</v>
      </c>
      <c r="F11" s="714" t="s">
        <v>614</v>
      </c>
      <c r="G11" s="714" t="s">
        <v>444</v>
      </c>
      <c r="H11" s="714" t="s">
        <v>615</v>
      </c>
      <c r="I11" s="708" t="s">
        <v>63</v>
      </c>
      <c r="J11" s="708" t="s">
        <v>174</v>
      </c>
      <c r="K11" s="708" t="s">
        <v>175</v>
      </c>
      <c r="L11" s="708" t="s">
        <v>64</v>
      </c>
      <c r="M11" s="708" t="s">
        <v>65</v>
      </c>
      <c r="N11" s="717" t="s">
        <v>66</v>
      </c>
      <c r="O11" s="718"/>
      <c r="P11" s="719"/>
      <c r="Q11" s="724" t="s">
        <v>614</v>
      </c>
      <c r="R11" s="720" t="s">
        <v>617</v>
      </c>
      <c r="S11" s="720" t="s">
        <v>67</v>
      </c>
      <c r="T11" s="708" t="s">
        <v>605</v>
      </c>
      <c r="U11" s="708" t="s">
        <v>63</v>
      </c>
      <c r="V11" s="708" t="s">
        <v>68</v>
      </c>
      <c r="W11" s="708" t="s">
        <v>26</v>
      </c>
      <c r="X11" s="714" t="s">
        <v>614</v>
      </c>
    </row>
    <row r="12" spans="1:24" s="125" customFormat="1" ht="15.75">
      <c r="A12" s="710"/>
      <c r="B12" s="711"/>
      <c r="C12" s="708"/>
      <c r="D12" s="708"/>
      <c r="E12" s="708"/>
      <c r="F12" s="715"/>
      <c r="G12" s="715"/>
      <c r="H12" s="715"/>
      <c r="I12" s="708"/>
      <c r="J12" s="708"/>
      <c r="K12" s="708"/>
      <c r="L12" s="708"/>
      <c r="M12" s="708"/>
      <c r="N12" s="708" t="s">
        <v>63</v>
      </c>
      <c r="O12" s="708" t="s">
        <v>68</v>
      </c>
      <c r="P12" s="708" t="s">
        <v>26</v>
      </c>
      <c r="Q12" s="725"/>
      <c r="R12" s="720"/>
      <c r="S12" s="720"/>
      <c r="T12" s="708"/>
      <c r="U12" s="708"/>
      <c r="V12" s="708"/>
      <c r="W12" s="708"/>
      <c r="X12" s="715"/>
    </row>
    <row r="13" spans="1:24" s="125" customFormat="1" ht="15.75">
      <c r="A13" s="710"/>
      <c r="B13" s="711"/>
      <c r="C13" s="708"/>
      <c r="D13" s="708"/>
      <c r="E13" s="708"/>
      <c r="F13" s="715"/>
      <c r="G13" s="715"/>
      <c r="H13" s="715"/>
      <c r="I13" s="708"/>
      <c r="J13" s="708"/>
      <c r="K13" s="708"/>
      <c r="L13" s="708"/>
      <c r="M13" s="708"/>
      <c r="N13" s="708"/>
      <c r="O13" s="708"/>
      <c r="P13" s="708"/>
      <c r="Q13" s="725"/>
      <c r="R13" s="720"/>
      <c r="S13" s="720"/>
      <c r="T13" s="708"/>
      <c r="U13" s="708"/>
      <c r="V13" s="708"/>
      <c r="W13" s="708"/>
      <c r="X13" s="715"/>
    </row>
    <row r="14" spans="1:24" s="125" customFormat="1" ht="123.75" customHeight="1">
      <c r="A14" s="710"/>
      <c r="B14" s="711"/>
      <c r="C14" s="708"/>
      <c r="D14" s="708"/>
      <c r="E14" s="708"/>
      <c r="F14" s="716"/>
      <c r="G14" s="716"/>
      <c r="H14" s="716"/>
      <c r="I14" s="708"/>
      <c r="J14" s="708"/>
      <c r="K14" s="708"/>
      <c r="L14" s="708"/>
      <c r="M14" s="708"/>
      <c r="N14" s="708"/>
      <c r="O14" s="708"/>
      <c r="P14" s="708"/>
      <c r="Q14" s="726"/>
      <c r="R14" s="720"/>
      <c r="S14" s="720"/>
      <c r="T14" s="708"/>
      <c r="U14" s="708"/>
      <c r="V14" s="708"/>
      <c r="W14" s="708"/>
      <c r="X14" s="716"/>
    </row>
    <row r="15" spans="1:24" s="9" customFormat="1" ht="17.25" customHeight="1">
      <c r="A15" s="8" t="s">
        <v>5</v>
      </c>
      <c r="B15" s="8" t="s">
        <v>6</v>
      </c>
      <c r="C15" s="8">
        <v>1</v>
      </c>
      <c r="D15" s="8">
        <f aca="true" t="shared" si="0" ref="D15:T15">C15+1</f>
        <v>2</v>
      </c>
      <c r="E15" s="8">
        <f t="shared" si="0"/>
        <v>3</v>
      </c>
      <c r="F15" s="8">
        <f t="shared" si="0"/>
        <v>4</v>
      </c>
      <c r="G15" s="8">
        <f t="shared" si="0"/>
        <v>5</v>
      </c>
      <c r="H15" s="8">
        <f t="shared" si="0"/>
        <v>6</v>
      </c>
      <c r="I15" s="8">
        <f t="shared" si="0"/>
        <v>7</v>
      </c>
      <c r="J15" s="8">
        <f t="shared" si="0"/>
        <v>8</v>
      </c>
      <c r="K15" s="8">
        <f t="shared" si="0"/>
        <v>9</v>
      </c>
      <c r="L15" s="8">
        <f t="shared" si="0"/>
        <v>10</v>
      </c>
      <c r="M15" s="8">
        <f t="shared" si="0"/>
        <v>11</v>
      </c>
      <c r="N15" s="8">
        <f t="shared" si="0"/>
        <v>12</v>
      </c>
      <c r="O15" s="8">
        <f t="shared" si="0"/>
        <v>13</v>
      </c>
      <c r="P15" s="8">
        <f t="shared" si="0"/>
        <v>14</v>
      </c>
      <c r="Q15" s="451">
        <f t="shared" si="0"/>
        <v>15</v>
      </c>
      <c r="R15" s="451">
        <f t="shared" si="0"/>
        <v>16</v>
      </c>
      <c r="S15" s="451">
        <f t="shared" si="0"/>
        <v>17</v>
      </c>
      <c r="T15" s="8">
        <f t="shared" si="0"/>
        <v>18</v>
      </c>
      <c r="U15" s="42" t="s">
        <v>620</v>
      </c>
      <c r="V15" s="42" t="s">
        <v>621</v>
      </c>
      <c r="W15" s="8" t="s">
        <v>622</v>
      </c>
      <c r="X15" s="470" t="s">
        <v>623</v>
      </c>
    </row>
    <row r="16" spans="1:24" s="43" customFormat="1" ht="15.75">
      <c r="A16" s="109"/>
      <c r="B16" s="109" t="s">
        <v>70</v>
      </c>
      <c r="C16" s="155">
        <f aca="true" t="shared" si="1" ref="C16:Q16">C17+C64+C66+C67+C65+C68+C69</f>
        <v>439920</v>
      </c>
      <c r="D16" s="155">
        <f t="shared" si="1"/>
        <v>123800</v>
      </c>
      <c r="E16" s="155">
        <f t="shared" si="1"/>
        <v>264312</v>
      </c>
      <c r="F16" s="155">
        <f t="shared" si="1"/>
        <v>44800</v>
      </c>
      <c r="G16" s="155">
        <f t="shared" si="1"/>
        <v>6833</v>
      </c>
      <c r="H16" s="155">
        <f t="shared" si="1"/>
        <v>175</v>
      </c>
      <c r="I16" s="155">
        <f t="shared" si="1"/>
        <v>519770.51827</v>
      </c>
      <c r="J16" s="155">
        <f t="shared" si="1"/>
        <v>122248.15</v>
      </c>
      <c r="K16" s="155">
        <f t="shared" si="1"/>
        <v>281486.9057609999</v>
      </c>
      <c r="L16" s="449">
        <f t="shared" si="1"/>
        <v>0</v>
      </c>
      <c r="M16" s="449">
        <f t="shared" si="1"/>
        <v>0</v>
      </c>
      <c r="N16" s="449">
        <f t="shared" si="1"/>
        <v>0</v>
      </c>
      <c r="O16" s="449">
        <f t="shared" si="1"/>
        <v>0</v>
      </c>
      <c r="P16" s="449">
        <f t="shared" si="1"/>
        <v>0</v>
      </c>
      <c r="Q16" s="155">
        <f t="shared" si="1"/>
        <v>68244.707</v>
      </c>
      <c r="R16" s="155">
        <f>R17+R64+R66+R67+R65+R68+R69</f>
        <v>10428.678814</v>
      </c>
      <c r="S16" s="346">
        <f>S17+S64+S66+S67+S65+S68+S69</f>
        <v>35732.660195</v>
      </c>
      <c r="T16" s="155">
        <f>T17+T64+T66+T67+T65+T68+T69</f>
        <v>1629.4165</v>
      </c>
      <c r="U16" s="112">
        <f aca="true" t="shared" si="2" ref="U16:W17">I16/C16*100</f>
        <v>118.15114526959447</v>
      </c>
      <c r="V16" s="112">
        <f t="shared" si="2"/>
        <v>98.74648626817446</v>
      </c>
      <c r="W16" s="112">
        <f t="shared" si="2"/>
        <v>106.4979667063924</v>
      </c>
      <c r="X16" s="128">
        <f>Q16/F16*100</f>
        <v>152.33193526785712</v>
      </c>
    </row>
    <row r="17" spans="1:25" s="43" customFormat="1" ht="15.75">
      <c r="A17" s="109" t="s">
        <v>14</v>
      </c>
      <c r="B17" s="111" t="s">
        <v>71</v>
      </c>
      <c r="C17" s="112">
        <f>SUM(C18:C61)</f>
        <v>388112</v>
      </c>
      <c r="D17" s="112">
        <f>SUM(D18:D61)</f>
        <v>123800</v>
      </c>
      <c r="E17" s="112">
        <f>SUM(E18:E61)</f>
        <v>264312</v>
      </c>
      <c r="F17" s="127">
        <f>SUM(F18:F61)</f>
        <v>0</v>
      </c>
      <c r="G17" s="112"/>
      <c r="H17" s="112"/>
      <c r="I17" s="112">
        <f>SUM(I18:I61)</f>
        <v>403735.055761</v>
      </c>
      <c r="J17" s="112">
        <f>SUM(J18:J61)</f>
        <v>122248.15</v>
      </c>
      <c r="K17" s="112">
        <f>SUM(K18:K61)</f>
        <v>281486.9057609999</v>
      </c>
      <c r="L17" s="127">
        <f>SUM(L18:L60)</f>
        <v>0</v>
      </c>
      <c r="M17" s="127">
        <f>SUM(M18:M60)</f>
        <v>0</v>
      </c>
      <c r="N17" s="127">
        <f>SUM(N18:N60)</f>
        <v>0</v>
      </c>
      <c r="O17" s="127">
        <f>SUM(O18:O60)</f>
        <v>0</v>
      </c>
      <c r="P17" s="127">
        <f>SUM(P18:P60)</f>
        <v>0</v>
      </c>
      <c r="Q17" s="449"/>
      <c r="R17" s="449"/>
      <c r="S17" s="449">
        <f>SUM(S18:S60)</f>
        <v>0</v>
      </c>
      <c r="T17" s="127"/>
      <c r="U17" s="112">
        <f t="shared" si="2"/>
        <v>104.0253987923589</v>
      </c>
      <c r="V17" s="112">
        <f t="shared" si="2"/>
        <v>98.74648626817446</v>
      </c>
      <c r="W17" s="112">
        <f t="shared" si="2"/>
        <v>106.4979667063924</v>
      </c>
      <c r="X17" s="128"/>
      <c r="Y17" s="153"/>
    </row>
    <row r="18" spans="1:24" s="43" customFormat="1" ht="15.75">
      <c r="A18" s="107">
        <v>1</v>
      </c>
      <c r="B18" s="108" t="s">
        <v>198</v>
      </c>
      <c r="C18" s="110">
        <f>D18+E18+F18+G18+H18</f>
        <v>7451</v>
      </c>
      <c r="D18" s="112"/>
      <c r="E18" s="110">
        <f>'BIEU 56'!C17</f>
        <v>7451</v>
      </c>
      <c r="F18" s="110"/>
      <c r="G18" s="110"/>
      <c r="H18" s="110"/>
      <c r="I18" s="110">
        <f>SUM(J18:T18)</f>
        <v>7758.508556</v>
      </c>
      <c r="J18" s="112"/>
      <c r="K18" s="110">
        <f>'BIEU 56'!D17</f>
        <v>7758.508556</v>
      </c>
      <c r="L18" s="112"/>
      <c r="M18" s="112"/>
      <c r="N18" s="112"/>
      <c r="O18" s="112"/>
      <c r="P18" s="112"/>
      <c r="Q18" s="155"/>
      <c r="R18" s="155"/>
      <c r="S18" s="155"/>
      <c r="T18" s="112"/>
      <c r="U18" s="110">
        <f aca="true" t="shared" si="3" ref="U18:U32">I18/C18*100</f>
        <v>104.12707765400617</v>
      </c>
      <c r="V18" s="110"/>
      <c r="W18" s="110">
        <f>K18/E18*100</f>
        <v>104.12707765400617</v>
      </c>
      <c r="X18" s="128"/>
    </row>
    <row r="19" spans="1:24" s="43" customFormat="1" ht="15.75">
      <c r="A19" s="107">
        <v>2</v>
      </c>
      <c r="B19" s="108" t="s">
        <v>199</v>
      </c>
      <c r="C19" s="110">
        <f aca="true" t="shared" si="4" ref="C19:C61">D19+E19+F19+G19+H19</f>
        <v>582</v>
      </c>
      <c r="D19" s="112"/>
      <c r="E19" s="110">
        <f>'BIEU 56'!C18</f>
        <v>582</v>
      </c>
      <c r="F19" s="110"/>
      <c r="G19" s="110"/>
      <c r="H19" s="110"/>
      <c r="I19" s="110">
        <f aca="true" t="shared" si="5" ref="I19:I61">SUM(J19:T19)</f>
        <v>628.888647</v>
      </c>
      <c r="J19" s="112"/>
      <c r="K19" s="110">
        <f>'BIEU 56'!D18</f>
        <v>628.888647</v>
      </c>
      <c r="L19" s="112"/>
      <c r="M19" s="112"/>
      <c r="N19" s="112"/>
      <c r="O19" s="112"/>
      <c r="P19" s="112"/>
      <c r="Q19" s="155"/>
      <c r="R19" s="155"/>
      <c r="S19" s="155"/>
      <c r="T19" s="112"/>
      <c r="U19" s="110">
        <f t="shared" si="3"/>
        <v>108.05646855670103</v>
      </c>
      <c r="V19" s="110"/>
      <c r="W19" s="110">
        <f aca="true" t="shared" si="6" ref="W19:W58">K19/E19*100</f>
        <v>108.05646855670103</v>
      </c>
      <c r="X19" s="128"/>
    </row>
    <row r="20" spans="1:24" s="43" customFormat="1" ht="15.75">
      <c r="A20" s="107">
        <v>3</v>
      </c>
      <c r="B20" s="108" t="s">
        <v>200</v>
      </c>
      <c r="C20" s="110">
        <f t="shared" si="4"/>
        <v>1622</v>
      </c>
      <c r="D20" s="112"/>
      <c r="E20" s="110">
        <f>'BIEU 56'!C19</f>
        <v>1622</v>
      </c>
      <c r="F20" s="110"/>
      <c r="G20" s="110"/>
      <c r="H20" s="110"/>
      <c r="I20" s="110">
        <f t="shared" si="5"/>
        <v>1770.845841</v>
      </c>
      <c r="J20" s="110"/>
      <c r="K20" s="110">
        <f>'BIEU 56'!D19</f>
        <v>1770.845841</v>
      </c>
      <c r="L20" s="112"/>
      <c r="M20" s="112"/>
      <c r="N20" s="112"/>
      <c r="O20" s="112"/>
      <c r="P20" s="112"/>
      <c r="Q20" s="155"/>
      <c r="R20" s="155"/>
      <c r="S20" s="155"/>
      <c r="T20" s="112"/>
      <c r="U20" s="110">
        <f t="shared" si="3"/>
        <v>109.1766856350185</v>
      </c>
      <c r="V20" s="110"/>
      <c r="W20" s="110">
        <f t="shared" si="6"/>
        <v>109.1766856350185</v>
      </c>
      <c r="X20" s="128"/>
    </row>
    <row r="21" spans="1:24" s="43" customFormat="1" ht="15.75">
      <c r="A21" s="107">
        <v>4</v>
      </c>
      <c r="B21" s="108" t="s">
        <v>201</v>
      </c>
      <c r="C21" s="110">
        <f t="shared" si="4"/>
        <v>6848</v>
      </c>
      <c r="D21" s="112"/>
      <c r="E21" s="110">
        <f>'BIEU 56'!C20</f>
        <v>6848</v>
      </c>
      <c r="F21" s="110"/>
      <c r="G21" s="110"/>
      <c r="H21" s="110"/>
      <c r="I21" s="110">
        <f t="shared" si="5"/>
        <v>7660.246503</v>
      </c>
      <c r="J21" s="110">
        <v>0</v>
      </c>
      <c r="K21" s="110">
        <f>'BIEU 56'!D20</f>
        <v>7660.246503</v>
      </c>
      <c r="L21" s="112"/>
      <c r="M21" s="112"/>
      <c r="N21" s="112"/>
      <c r="O21" s="112"/>
      <c r="P21" s="112"/>
      <c r="Q21" s="155"/>
      <c r="R21" s="155"/>
      <c r="S21" s="155"/>
      <c r="T21" s="112"/>
      <c r="U21" s="110">
        <f t="shared" si="3"/>
        <v>111.86107627044393</v>
      </c>
      <c r="V21" s="110"/>
      <c r="W21" s="110">
        <f t="shared" si="6"/>
        <v>111.86107627044393</v>
      </c>
      <c r="X21" s="128"/>
    </row>
    <row r="22" spans="1:24" s="43" customFormat="1" ht="15.75">
      <c r="A22" s="107">
        <v>5</v>
      </c>
      <c r="B22" s="139" t="s">
        <v>202</v>
      </c>
      <c r="C22" s="110">
        <f t="shared" si="4"/>
        <v>1987</v>
      </c>
      <c r="D22" s="112"/>
      <c r="E22" s="110">
        <f>'BIEU 56'!C21</f>
        <v>1987</v>
      </c>
      <c r="F22" s="110"/>
      <c r="G22" s="110"/>
      <c r="H22" s="110"/>
      <c r="I22" s="110">
        <f t="shared" si="5"/>
        <v>3254.781398</v>
      </c>
      <c r="J22" s="110">
        <v>0</v>
      </c>
      <c r="K22" s="110">
        <f>'BIEU 56'!D21</f>
        <v>3254.781398</v>
      </c>
      <c r="L22" s="112"/>
      <c r="M22" s="112"/>
      <c r="N22" s="112"/>
      <c r="O22" s="112"/>
      <c r="P22" s="112"/>
      <c r="Q22" s="155"/>
      <c r="R22" s="155"/>
      <c r="S22" s="155"/>
      <c r="T22" s="112"/>
      <c r="U22" s="110">
        <f t="shared" si="3"/>
        <v>163.80379456467037</v>
      </c>
      <c r="V22" s="110"/>
      <c r="W22" s="110">
        <f t="shared" si="6"/>
        <v>163.80379456467037</v>
      </c>
      <c r="X22" s="128"/>
    </row>
    <row r="23" spans="1:24" s="43" customFormat="1" ht="15.75">
      <c r="A23" s="107">
        <v>6</v>
      </c>
      <c r="B23" s="108" t="s">
        <v>203</v>
      </c>
      <c r="C23" s="110">
        <f t="shared" si="4"/>
        <v>135536</v>
      </c>
      <c r="D23" s="112"/>
      <c r="E23" s="110">
        <f>'BIEU 56'!C22</f>
        <v>135536</v>
      </c>
      <c r="F23" s="110"/>
      <c r="G23" s="110"/>
      <c r="H23" s="110"/>
      <c r="I23" s="110">
        <f t="shared" si="5"/>
        <v>133244.829356</v>
      </c>
      <c r="J23" s="110"/>
      <c r="K23" s="110">
        <f>'BIEU 56'!D22</f>
        <v>133244.829356</v>
      </c>
      <c r="L23" s="112"/>
      <c r="M23" s="112"/>
      <c r="N23" s="112"/>
      <c r="O23" s="112"/>
      <c r="P23" s="112"/>
      <c r="Q23" s="155"/>
      <c r="R23" s="155"/>
      <c r="S23" s="155"/>
      <c r="T23" s="112"/>
      <c r="U23" s="110">
        <f t="shared" si="3"/>
        <v>98.30954827942392</v>
      </c>
      <c r="V23" s="110"/>
      <c r="W23" s="110">
        <f t="shared" si="6"/>
        <v>98.30954827942392</v>
      </c>
      <c r="X23" s="128"/>
    </row>
    <row r="24" spans="1:24" s="43" customFormat="1" ht="15.75">
      <c r="A24" s="107">
        <v>7</v>
      </c>
      <c r="B24" s="108" t="s">
        <v>204</v>
      </c>
      <c r="C24" s="110">
        <f t="shared" si="4"/>
        <v>766</v>
      </c>
      <c r="D24" s="112"/>
      <c r="E24" s="110">
        <f>'BIEU 56'!C23</f>
        <v>766</v>
      </c>
      <c r="F24" s="110"/>
      <c r="G24" s="110"/>
      <c r="H24" s="110"/>
      <c r="I24" s="110">
        <f t="shared" si="5"/>
        <v>632.302295</v>
      </c>
      <c r="J24" s="112"/>
      <c r="K24" s="110">
        <f>'BIEU 56'!D23</f>
        <v>632.302295</v>
      </c>
      <c r="L24" s="112"/>
      <c r="M24" s="112"/>
      <c r="N24" s="112"/>
      <c r="O24" s="112"/>
      <c r="P24" s="112"/>
      <c r="Q24" s="155"/>
      <c r="R24" s="155"/>
      <c r="S24" s="155"/>
      <c r="T24" s="112"/>
      <c r="U24" s="110">
        <f t="shared" si="3"/>
        <v>82.54599151436031</v>
      </c>
      <c r="V24" s="110"/>
      <c r="W24" s="110">
        <f t="shared" si="6"/>
        <v>82.54599151436031</v>
      </c>
      <c r="X24" s="128"/>
    </row>
    <row r="25" spans="1:24" s="43" customFormat="1" ht="15.75">
      <c r="A25" s="107">
        <v>8</v>
      </c>
      <c r="B25" s="108" t="s">
        <v>240</v>
      </c>
      <c r="C25" s="110">
        <f t="shared" si="4"/>
        <v>24403</v>
      </c>
      <c r="D25" s="110">
        <f>'BIEU 55'!C18</f>
        <v>4534</v>
      </c>
      <c r="E25" s="110">
        <f>'BIEU 56'!C24</f>
        <v>19869</v>
      </c>
      <c r="F25" s="110"/>
      <c r="G25" s="110"/>
      <c r="H25" s="110"/>
      <c r="I25" s="110">
        <f t="shared" si="5"/>
        <v>24049.311648</v>
      </c>
      <c r="J25" s="110">
        <f>'BIEU 55'!D18</f>
        <v>11451.931</v>
      </c>
      <c r="K25" s="110">
        <f>'BIEU 56'!D24</f>
        <v>12597.380647999998</v>
      </c>
      <c r="L25" s="112"/>
      <c r="M25" s="112"/>
      <c r="N25" s="112"/>
      <c r="O25" s="112"/>
      <c r="P25" s="112"/>
      <c r="Q25" s="155"/>
      <c r="R25" s="155"/>
      <c r="S25" s="155"/>
      <c r="T25" s="112"/>
      <c r="U25" s="110">
        <f t="shared" si="3"/>
        <v>98.55063577429004</v>
      </c>
      <c r="V25" s="110">
        <f>J25/D25*100</f>
        <v>252.57898103220117</v>
      </c>
      <c r="W25" s="110">
        <f t="shared" si="6"/>
        <v>63.402187568574156</v>
      </c>
      <c r="X25" s="128"/>
    </row>
    <row r="26" spans="1:24" s="43" customFormat="1" ht="15.75">
      <c r="A26" s="107">
        <v>9</v>
      </c>
      <c r="B26" s="108" t="s">
        <v>248</v>
      </c>
      <c r="C26" s="110">
        <f t="shared" si="4"/>
        <v>1110</v>
      </c>
      <c r="D26" s="112"/>
      <c r="E26" s="110">
        <f>'BIEU 56'!C25</f>
        <v>1110</v>
      </c>
      <c r="F26" s="110"/>
      <c r="G26" s="110"/>
      <c r="H26" s="110"/>
      <c r="I26" s="110">
        <f t="shared" si="5"/>
        <v>1335.88642</v>
      </c>
      <c r="J26" s="112"/>
      <c r="K26" s="110">
        <f>'BIEU 56'!D25</f>
        <v>1335.88642</v>
      </c>
      <c r="L26" s="112"/>
      <c r="M26" s="112"/>
      <c r="N26" s="112"/>
      <c r="O26" s="112"/>
      <c r="P26" s="112"/>
      <c r="Q26" s="155"/>
      <c r="R26" s="155"/>
      <c r="S26" s="155"/>
      <c r="T26" s="112"/>
      <c r="U26" s="110">
        <f t="shared" si="3"/>
        <v>120.35012792792794</v>
      </c>
      <c r="V26" s="110"/>
      <c r="W26" s="110">
        <f t="shared" si="6"/>
        <v>120.35012792792794</v>
      </c>
      <c r="X26" s="128"/>
    </row>
    <row r="27" spans="1:24" s="43" customFormat="1" ht="15.75">
      <c r="A27" s="107">
        <v>10</v>
      </c>
      <c r="B27" s="108" t="s">
        <v>207</v>
      </c>
      <c r="C27" s="110">
        <f t="shared" si="4"/>
        <v>1770</v>
      </c>
      <c r="D27" s="112"/>
      <c r="E27" s="110">
        <f>'BIEU 56'!C26</f>
        <v>1770</v>
      </c>
      <c r="F27" s="110"/>
      <c r="G27" s="110"/>
      <c r="H27" s="110"/>
      <c r="I27" s="110">
        <f t="shared" si="5"/>
        <v>2384.647415</v>
      </c>
      <c r="J27" s="112"/>
      <c r="K27" s="110">
        <f>'BIEU 56'!D26</f>
        <v>2384.647415</v>
      </c>
      <c r="L27" s="112"/>
      <c r="M27" s="112"/>
      <c r="N27" s="112"/>
      <c r="O27" s="112"/>
      <c r="P27" s="112"/>
      <c r="Q27" s="155"/>
      <c r="R27" s="155"/>
      <c r="S27" s="155"/>
      <c r="T27" s="112"/>
      <c r="U27" s="110">
        <f t="shared" si="3"/>
        <v>134.72584265536722</v>
      </c>
      <c r="V27" s="110"/>
      <c r="W27" s="110">
        <f t="shared" si="6"/>
        <v>134.72584265536722</v>
      </c>
      <c r="X27" s="128"/>
    </row>
    <row r="28" spans="1:24" s="43" customFormat="1" ht="15.75">
      <c r="A28" s="107">
        <v>11</v>
      </c>
      <c r="B28" s="108" t="s">
        <v>208</v>
      </c>
      <c r="C28" s="110">
        <f t="shared" si="4"/>
        <v>2809</v>
      </c>
      <c r="D28" s="112"/>
      <c r="E28" s="110">
        <f>'BIEU 56'!C27</f>
        <v>2809</v>
      </c>
      <c r="F28" s="110"/>
      <c r="G28" s="110"/>
      <c r="H28" s="110"/>
      <c r="I28" s="110">
        <f t="shared" si="5"/>
        <v>3012.938824</v>
      </c>
      <c r="J28" s="112"/>
      <c r="K28" s="110">
        <f>'BIEU 56'!D27</f>
        <v>3012.938824</v>
      </c>
      <c r="L28" s="112"/>
      <c r="M28" s="112"/>
      <c r="N28" s="112"/>
      <c r="O28" s="112"/>
      <c r="P28" s="112"/>
      <c r="Q28" s="155"/>
      <c r="R28" s="155"/>
      <c r="S28" s="155"/>
      <c r="T28" s="112"/>
      <c r="U28" s="110">
        <f t="shared" si="3"/>
        <v>107.26019309362762</v>
      </c>
      <c r="V28" s="110"/>
      <c r="W28" s="110">
        <f t="shared" si="6"/>
        <v>107.26019309362762</v>
      </c>
      <c r="X28" s="128"/>
    </row>
    <row r="29" spans="1:24" s="43" customFormat="1" ht="15.75">
      <c r="A29" s="107">
        <v>12</v>
      </c>
      <c r="B29" s="108" t="s">
        <v>209</v>
      </c>
      <c r="C29" s="110">
        <f t="shared" si="4"/>
        <v>1025</v>
      </c>
      <c r="D29" s="112"/>
      <c r="E29" s="110">
        <f>'BIEU 56'!C28</f>
        <v>1025</v>
      </c>
      <c r="F29" s="110"/>
      <c r="G29" s="110"/>
      <c r="H29" s="110"/>
      <c r="I29" s="110">
        <f t="shared" si="5"/>
        <v>1141.303333</v>
      </c>
      <c r="J29" s="112"/>
      <c r="K29" s="110">
        <f>'BIEU 56'!D28</f>
        <v>1141.303333</v>
      </c>
      <c r="L29" s="112"/>
      <c r="M29" s="112"/>
      <c r="N29" s="112"/>
      <c r="O29" s="112"/>
      <c r="P29" s="112"/>
      <c r="Q29" s="155"/>
      <c r="R29" s="155"/>
      <c r="S29" s="155"/>
      <c r="T29" s="112"/>
      <c r="U29" s="110">
        <f t="shared" si="3"/>
        <v>111.34666663414635</v>
      </c>
      <c r="V29" s="110"/>
      <c r="W29" s="110">
        <f t="shared" si="6"/>
        <v>111.34666663414635</v>
      </c>
      <c r="X29" s="128"/>
    </row>
    <row r="30" spans="1:24" s="43" customFormat="1" ht="15.75">
      <c r="A30" s="107">
        <v>13</v>
      </c>
      <c r="B30" s="108" t="s">
        <v>233</v>
      </c>
      <c r="C30" s="110">
        <f t="shared" si="4"/>
        <v>2721</v>
      </c>
      <c r="D30" s="112"/>
      <c r="E30" s="110">
        <f>'BIEU 56'!C29</f>
        <v>2721</v>
      </c>
      <c r="F30" s="110"/>
      <c r="G30" s="110"/>
      <c r="H30" s="110"/>
      <c r="I30" s="110">
        <f t="shared" si="5"/>
        <v>2720.851705</v>
      </c>
      <c r="J30" s="112"/>
      <c r="K30" s="110">
        <f>'BIEU 56'!D29</f>
        <v>2720.851705</v>
      </c>
      <c r="L30" s="112"/>
      <c r="M30" s="112"/>
      <c r="N30" s="112"/>
      <c r="O30" s="112"/>
      <c r="P30" s="112"/>
      <c r="Q30" s="155"/>
      <c r="R30" s="155"/>
      <c r="S30" s="155"/>
      <c r="T30" s="112"/>
      <c r="U30" s="110">
        <f t="shared" si="3"/>
        <v>99.9945499816244</v>
      </c>
      <c r="V30" s="110"/>
      <c r="W30" s="110">
        <f t="shared" si="6"/>
        <v>99.9945499816244</v>
      </c>
      <c r="X30" s="128"/>
    </row>
    <row r="31" spans="1:24" s="43" customFormat="1" ht="15.75">
      <c r="A31" s="107">
        <v>14</v>
      </c>
      <c r="B31" s="108" t="s">
        <v>210</v>
      </c>
      <c r="C31" s="110">
        <f t="shared" si="4"/>
        <v>343</v>
      </c>
      <c r="D31" s="112"/>
      <c r="E31" s="110">
        <f>'BIEU 56'!C30</f>
        <v>343</v>
      </c>
      <c r="F31" s="110"/>
      <c r="G31" s="110"/>
      <c r="H31" s="110"/>
      <c r="I31" s="110">
        <f t="shared" si="5"/>
        <v>479.720066</v>
      </c>
      <c r="J31" s="112"/>
      <c r="K31" s="110">
        <f>'BIEU 56'!D30</f>
        <v>479.720066</v>
      </c>
      <c r="L31" s="112"/>
      <c r="M31" s="112"/>
      <c r="N31" s="112"/>
      <c r="O31" s="112"/>
      <c r="P31" s="112"/>
      <c r="Q31" s="155"/>
      <c r="R31" s="155"/>
      <c r="S31" s="155"/>
      <c r="T31" s="112"/>
      <c r="U31" s="110">
        <f t="shared" si="3"/>
        <v>139.8600775510204</v>
      </c>
      <c r="V31" s="110"/>
      <c r="W31" s="110">
        <f t="shared" si="6"/>
        <v>139.8600775510204</v>
      </c>
      <c r="X31" s="128"/>
    </row>
    <row r="32" spans="1:24" s="43" customFormat="1" ht="15.75">
      <c r="A32" s="107">
        <v>15</v>
      </c>
      <c r="B32" s="161" t="s">
        <v>226</v>
      </c>
      <c r="C32" s="110">
        <f t="shared" si="4"/>
        <v>217</v>
      </c>
      <c r="D32" s="112"/>
      <c r="E32" s="110">
        <f>'BIEU 56'!C31</f>
        <v>217</v>
      </c>
      <c r="F32" s="110"/>
      <c r="G32" s="110"/>
      <c r="H32" s="110"/>
      <c r="I32" s="110">
        <f t="shared" si="5"/>
        <v>211.388601</v>
      </c>
      <c r="J32" s="112"/>
      <c r="K32" s="110">
        <f>'BIEU 56'!D31</f>
        <v>211.388601</v>
      </c>
      <c r="L32" s="112"/>
      <c r="M32" s="112"/>
      <c r="N32" s="112"/>
      <c r="O32" s="112"/>
      <c r="P32" s="112"/>
      <c r="Q32" s="155"/>
      <c r="R32" s="155"/>
      <c r="S32" s="155"/>
      <c r="T32" s="112"/>
      <c r="U32" s="110">
        <f t="shared" si="3"/>
        <v>97.41410184331797</v>
      </c>
      <c r="V32" s="110"/>
      <c r="W32" s="110">
        <f t="shared" si="6"/>
        <v>97.41410184331797</v>
      </c>
      <c r="X32" s="128"/>
    </row>
    <row r="33" spans="1:24" s="43" customFormat="1" ht="15.75">
      <c r="A33" s="107">
        <v>16</v>
      </c>
      <c r="B33" s="139" t="s">
        <v>594</v>
      </c>
      <c r="C33" s="110">
        <f t="shared" si="4"/>
        <v>3374</v>
      </c>
      <c r="D33" s="112"/>
      <c r="E33" s="110">
        <f>'BIEU 56'!C32</f>
        <v>3374</v>
      </c>
      <c r="F33" s="110"/>
      <c r="G33" s="110"/>
      <c r="H33" s="110"/>
      <c r="I33" s="110">
        <f t="shared" si="5"/>
        <v>4023.8317429999997</v>
      </c>
      <c r="J33" s="112"/>
      <c r="K33" s="110">
        <f>'BIEU 56'!D32</f>
        <v>4023.8317429999997</v>
      </c>
      <c r="L33" s="112"/>
      <c r="M33" s="112"/>
      <c r="N33" s="112"/>
      <c r="O33" s="112"/>
      <c r="P33" s="112"/>
      <c r="Q33" s="155"/>
      <c r="R33" s="155"/>
      <c r="S33" s="155"/>
      <c r="T33" s="112"/>
      <c r="U33" s="110"/>
      <c r="V33" s="110"/>
      <c r="W33" s="110">
        <f t="shared" si="6"/>
        <v>119.25998052756373</v>
      </c>
      <c r="X33" s="128"/>
    </row>
    <row r="34" spans="1:24" s="43" customFormat="1" ht="15.75">
      <c r="A34" s="107">
        <v>17</v>
      </c>
      <c r="B34" s="108" t="s">
        <v>211</v>
      </c>
      <c r="C34" s="110">
        <f t="shared" si="4"/>
        <v>1147</v>
      </c>
      <c r="D34" s="112"/>
      <c r="E34" s="110">
        <f>'BIEU 56'!C33</f>
        <v>1147</v>
      </c>
      <c r="F34" s="110"/>
      <c r="G34" s="110"/>
      <c r="H34" s="110"/>
      <c r="I34" s="110">
        <f t="shared" si="5"/>
        <v>1111.304178</v>
      </c>
      <c r="J34" s="112"/>
      <c r="K34" s="110">
        <f>'BIEU 56'!D33</f>
        <v>1111.304178</v>
      </c>
      <c r="L34" s="112"/>
      <c r="M34" s="112"/>
      <c r="N34" s="112"/>
      <c r="O34" s="112"/>
      <c r="P34" s="112"/>
      <c r="Q34" s="155"/>
      <c r="R34" s="155"/>
      <c r="S34" s="155"/>
      <c r="T34" s="112"/>
      <c r="U34" s="110">
        <f aca="true" t="shared" si="7" ref="U34:U52">I34/C34*100</f>
        <v>96.88789694856148</v>
      </c>
      <c r="V34" s="110"/>
      <c r="W34" s="110">
        <f t="shared" si="6"/>
        <v>96.88789694856148</v>
      </c>
      <c r="X34" s="128"/>
    </row>
    <row r="35" spans="1:24" s="43" customFormat="1" ht="15.75">
      <c r="A35" s="107">
        <v>18</v>
      </c>
      <c r="B35" s="108" t="s">
        <v>234</v>
      </c>
      <c r="C35" s="110">
        <f t="shared" si="4"/>
        <v>1177</v>
      </c>
      <c r="D35" s="112"/>
      <c r="E35" s="110">
        <f>'BIEU 56'!C34</f>
        <v>1177</v>
      </c>
      <c r="F35" s="110"/>
      <c r="G35" s="110"/>
      <c r="H35" s="110"/>
      <c r="I35" s="110">
        <f t="shared" si="5"/>
        <v>1231.129328</v>
      </c>
      <c r="J35" s="112"/>
      <c r="K35" s="110">
        <f>'BIEU 56'!D34</f>
        <v>1231.129328</v>
      </c>
      <c r="L35" s="112"/>
      <c r="M35" s="112"/>
      <c r="N35" s="112"/>
      <c r="O35" s="112"/>
      <c r="P35" s="112"/>
      <c r="Q35" s="155"/>
      <c r="R35" s="155"/>
      <c r="S35" s="155"/>
      <c r="T35" s="112"/>
      <c r="U35" s="110">
        <f t="shared" si="7"/>
        <v>104.59892336448597</v>
      </c>
      <c r="V35" s="110"/>
      <c r="W35" s="110">
        <f t="shared" si="6"/>
        <v>104.59892336448597</v>
      </c>
      <c r="X35" s="128"/>
    </row>
    <row r="36" spans="1:24" s="43" customFormat="1" ht="15.75">
      <c r="A36" s="107">
        <v>19</v>
      </c>
      <c r="B36" s="108" t="s">
        <v>212</v>
      </c>
      <c r="C36" s="110">
        <f t="shared" si="4"/>
        <v>57587</v>
      </c>
      <c r="D36" s="110">
        <f>'BIEU 55'!C19</f>
        <v>9400</v>
      </c>
      <c r="E36" s="110">
        <f>'BIEU 56'!C35</f>
        <v>48187</v>
      </c>
      <c r="F36" s="110"/>
      <c r="G36" s="110"/>
      <c r="H36" s="110"/>
      <c r="I36" s="110">
        <f t="shared" si="5"/>
        <v>79534.916709</v>
      </c>
      <c r="J36" s="136">
        <f>'BIEU 55'!D19</f>
        <v>7709.507</v>
      </c>
      <c r="K36" s="110">
        <f>'BIEU 56'!D35</f>
        <v>71825.409709</v>
      </c>
      <c r="L36" s="112"/>
      <c r="M36" s="112"/>
      <c r="N36" s="112"/>
      <c r="O36" s="112"/>
      <c r="P36" s="112"/>
      <c r="Q36" s="155"/>
      <c r="R36" s="155"/>
      <c r="S36" s="155"/>
      <c r="T36" s="112"/>
      <c r="U36" s="110">
        <f t="shared" si="7"/>
        <v>138.11262387170714</v>
      </c>
      <c r="V36" s="110">
        <f>J36/D36*100</f>
        <v>82.01603191489362</v>
      </c>
      <c r="W36" s="110">
        <f t="shared" si="6"/>
        <v>149.05557455122752</v>
      </c>
      <c r="X36" s="128"/>
    </row>
    <row r="37" spans="1:24" s="43" customFormat="1" ht="15.75">
      <c r="A37" s="107">
        <v>20</v>
      </c>
      <c r="B37" s="108" t="s">
        <v>213</v>
      </c>
      <c r="C37" s="110">
        <f t="shared" si="4"/>
        <v>1292</v>
      </c>
      <c r="D37" s="112"/>
      <c r="E37" s="110">
        <f>'BIEU 56'!C36</f>
        <v>1292</v>
      </c>
      <c r="F37" s="110"/>
      <c r="G37" s="110"/>
      <c r="H37" s="110"/>
      <c r="I37" s="110">
        <f t="shared" si="5"/>
        <v>1506.343225</v>
      </c>
      <c r="J37" s="112"/>
      <c r="K37" s="110">
        <f>'BIEU 56'!D36</f>
        <v>1506.343225</v>
      </c>
      <c r="L37" s="112"/>
      <c r="M37" s="112"/>
      <c r="N37" s="112"/>
      <c r="O37" s="112"/>
      <c r="P37" s="112"/>
      <c r="Q37" s="155"/>
      <c r="R37" s="155"/>
      <c r="S37" s="155"/>
      <c r="T37" s="112"/>
      <c r="U37" s="110">
        <f t="shared" si="7"/>
        <v>116.59003289473684</v>
      </c>
      <c r="V37" s="110"/>
      <c r="W37" s="110">
        <f t="shared" si="6"/>
        <v>116.59003289473684</v>
      </c>
      <c r="X37" s="128"/>
    </row>
    <row r="38" spans="1:24" s="43" customFormat="1" ht="15.75">
      <c r="A38" s="107">
        <v>21</v>
      </c>
      <c r="B38" s="140" t="s">
        <v>214</v>
      </c>
      <c r="C38" s="110">
        <f t="shared" si="4"/>
        <v>1953</v>
      </c>
      <c r="D38" s="112"/>
      <c r="E38" s="110">
        <f>'BIEU 56'!C37</f>
        <v>1953</v>
      </c>
      <c r="F38" s="110"/>
      <c r="G38" s="110"/>
      <c r="H38" s="110"/>
      <c r="I38" s="110">
        <f t="shared" si="5"/>
        <v>2140.195345</v>
      </c>
      <c r="J38" s="112"/>
      <c r="K38" s="110">
        <f>'BIEU 56'!D37</f>
        <v>2140.195345</v>
      </c>
      <c r="L38" s="112"/>
      <c r="M38" s="112"/>
      <c r="N38" s="112"/>
      <c r="O38" s="112"/>
      <c r="P38" s="112"/>
      <c r="Q38" s="155"/>
      <c r="R38" s="155"/>
      <c r="S38" s="155"/>
      <c r="T38" s="112"/>
      <c r="U38" s="110">
        <f t="shared" si="7"/>
        <v>109.58501510496671</v>
      </c>
      <c r="V38" s="110"/>
      <c r="W38" s="110">
        <f t="shared" si="6"/>
        <v>109.58501510496671</v>
      </c>
      <c r="X38" s="128"/>
    </row>
    <row r="39" spans="1:24" s="43" customFormat="1" ht="15.75">
      <c r="A39" s="107">
        <v>22</v>
      </c>
      <c r="B39" s="140" t="s">
        <v>215</v>
      </c>
      <c r="C39" s="110">
        <f t="shared" si="4"/>
        <v>741</v>
      </c>
      <c r="D39" s="112"/>
      <c r="E39" s="110">
        <f>'BIEU 56'!C38</f>
        <v>741</v>
      </c>
      <c r="F39" s="110"/>
      <c r="G39" s="110"/>
      <c r="H39" s="110"/>
      <c r="I39" s="110">
        <f t="shared" si="5"/>
        <v>1028.689505</v>
      </c>
      <c r="J39" s="112"/>
      <c r="K39" s="110">
        <f>'BIEU 56'!D38</f>
        <v>1028.689505</v>
      </c>
      <c r="L39" s="112"/>
      <c r="M39" s="112"/>
      <c r="N39" s="112"/>
      <c r="O39" s="112"/>
      <c r="P39" s="112"/>
      <c r="Q39" s="155"/>
      <c r="R39" s="155"/>
      <c r="S39" s="155"/>
      <c r="T39" s="112"/>
      <c r="U39" s="110">
        <f t="shared" si="7"/>
        <v>138.82449460188934</v>
      </c>
      <c r="V39" s="110"/>
      <c r="W39" s="110">
        <f t="shared" si="6"/>
        <v>138.82449460188934</v>
      </c>
      <c r="X39" s="128"/>
    </row>
    <row r="40" spans="1:24" s="43" customFormat="1" ht="15.75">
      <c r="A40" s="107">
        <v>23</v>
      </c>
      <c r="B40" s="140" t="s">
        <v>216</v>
      </c>
      <c r="C40" s="110">
        <f t="shared" si="4"/>
        <v>672</v>
      </c>
      <c r="D40" s="112"/>
      <c r="E40" s="110">
        <f>'BIEU 56'!C39</f>
        <v>672</v>
      </c>
      <c r="F40" s="110"/>
      <c r="G40" s="110"/>
      <c r="H40" s="110"/>
      <c r="I40" s="110">
        <f t="shared" si="5"/>
        <v>806.602198</v>
      </c>
      <c r="J40" s="112"/>
      <c r="K40" s="110">
        <f>'BIEU 56'!D39</f>
        <v>806.602198</v>
      </c>
      <c r="L40" s="112"/>
      <c r="M40" s="112"/>
      <c r="N40" s="112"/>
      <c r="O40" s="112"/>
      <c r="P40" s="112"/>
      <c r="Q40" s="155"/>
      <c r="R40" s="155"/>
      <c r="S40" s="155"/>
      <c r="T40" s="112"/>
      <c r="U40" s="110">
        <f t="shared" si="7"/>
        <v>120.03008898809524</v>
      </c>
      <c r="V40" s="110"/>
      <c r="W40" s="110">
        <f t="shared" si="6"/>
        <v>120.03008898809524</v>
      </c>
      <c r="X40" s="128"/>
    </row>
    <row r="41" spans="1:24" s="43" customFormat="1" ht="15.75">
      <c r="A41" s="107">
        <v>24</v>
      </c>
      <c r="B41" s="140" t="s">
        <v>217</v>
      </c>
      <c r="C41" s="110">
        <f t="shared" si="4"/>
        <v>828</v>
      </c>
      <c r="D41" s="112"/>
      <c r="E41" s="110">
        <f>'BIEU 56'!C40</f>
        <v>828</v>
      </c>
      <c r="F41" s="110"/>
      <c r="G41" s="110"/>
      <c r="H41" s="110"/>
      <c r="I41" s="110">
        <f t="shared" si="5"/>
        <v>949.442755</v>
      </c>
      <c r="J41" s="112"/>
      <c r="K41" s="110">
        <f>'BIEU 56'!D40</f>
        <v>949.442755</v>
      </c>
      <c r="L41" s="112"/>
      <c r="M41" s="112"/>
      <c r="N41" s="112"/>
      <c r="O41" s="112"/>
      <c r="P41" s="112"/>
      <c r="Q41" s="155"/>
      <c r="R41" s="155"/>
      <c r="S41" s="155"/>
      <c r="T41" s="112"/>
      <c r="U41" s="110">
        <f t="shared" si="7"/>
        <v>114.66699939613527</v>
      </c>
      <c r="V41" s="110"/>
      <c r="W41" s="110">
        <f t="shared" si="6"/>
        <v>114.66699939613527</v>
      </c>
      <c r="X41" s="128"/>
    </row>
    <row r="42" spans="1:24" s="43" customFormat="1" ht="15.75">
      <c r="A42" s="107">
        <v>25</v>
      </c>
      <c r="B42" s="140" t="s">
        <v>218</v>
      </c>
      <c r="C42" s="110">
        <f t="shared" si="4"/>
        <v>677</v>
      </c>
      <c r="D42" s="112"/>
      <c r="E42" s="110">
        <f>'BIEU 56'!C41</f>
        <v>677</v>
      </c>
      <c r="F42" s="110"/>
      <c r="G42" s="110"/>
      <c r="H42" s="110"/>
      <c r="I42" s="110">
        <f t="shared" si="5"/>
        <v>561.753017</v>
      </c>
      <c r="J42" s="112"/>
      <c r="K42" s="110">
        <f>'BIEU 56'!D41</f>
        <v>561.753017</v>
      </c>
      <c r="L42" s="112"/>
      <c r="M42" s="112"/>
      <c r="N42" s="112"/>
      <c r="O42" s="112"/>
      <c r="P42" s="112"/>
      <c r="Q42" s="155"/>
      <c r="R42" s="155"/>
      <c r="S42" s="155"/>
      <c r="T42" s="112"/>
      <c r="U42" s="110">
        <f t="shared" si="7"/>
        <v>82.97681196454948</v>
      </c>
      <c r="V42" s="110"/>
      <c r="W42" s="110">
        <f t="shared" si="6"/>
        <v>82.97681196454948</v>
      </c>
      <c r="X42" s="128"/>
    </row>
    <row r="43" spans="1:24" s="43" customFormat="1" ht="15.75">
      <c r="A43" s="107">
        <v>26</v>
      </c>
      <c r="B43" s="108" t="s">
        <v>219</v>
      </c>
      <c r="C43" s="110">
        <f t="shared" si="4"/>
        <v>396</v>
      </c>
      <c r="D43" s="112"/>
      <c r="E43" s="110">
        <f>'BIEU 56'!C42</f>
        <v>396</v>
      </c>
      <c r="F43" s="110"/>
      <c r="G43" s="110"/>
      <c r="H43" s="110"/>
      <c r="I43" s="110">
        <f t="shared" si="5"/>
        <v>434.722762</v>
      </c>
      <c r="J43" s="112"/>
      <c r="K43" s="110">
        <f>'BIEU 56'!D42</f>
        <v>434.722762</v>
      </c>
      <c r="L43" s="112"/>
      <c r="M43" s="112"/>
      <c r="N43" s="112"/>
      <c r="O43" s="112"/>
      <c r="P43" s="112"/>
      <c r="Q43" s="155"/>
      <c r="R43" s="155"/>
      <c r="S43" s="155"/>
      <c r="T43" s="112"/>
      <c r="U43" s="110">
        <f t="shared" si="7"/>
        <v>109.77847525252524</v>
      </c>
      <c r="V43" s="110"/>
      <c r="W43" s="110">
        <f t="shared" si="6"/>
        <v>109.77847525252524</v>
      </c>
      <c r="X43" s="128"/>
    </row>
    <row r="44" spans="1:24" s="43" customFormat="1" ht="15.75">
      <c r="A44" s="107">
        <v>27</v>
      </c>
      <c r="B44" s="108" t="s">
        <v>220</v>
      </c>
      <c r="C44" s="110">
        <f t="shared" si="4"/>
        <v>204</v>
      </c>
      <c r="D44" s="112"/>
      <c r="E44" s="110">
        <f>'BIEU 56'!C43</f>
        <v>204</v>
      </c>
      <c r="F44" s="110"/>
      <c r="G44" s="110"/>
      <c r="H44" s="110"/>
      <c r="I44" s="110">
        <f t="shared" si="5"/>
        <v>176.898993</v>
      </c>
      <c r="J44" s="112"/>
      <c r="K44" s="110">
        <f>'BIEU 56'!D43</f>
        <v>176.898993</v>
      </c>
      <c r="L44" s="112"/>
      <c r="M44" s="112"/>
      <c r="N44" s="112"/>
      <c r="O44" s="112"/>
      <c r="P44" s="112"/>
      <c r="Q44" s="155"/>
      <c r="R44" s="155"/>
      <c r="S44" s="155"/>
      <c r="T44" s="112"/>
      <c r="U44" s="110">
        <f t="shared" si="7"/>
        <v>86.71519264705881</v>
      </c>
      <c r="V44" s="110"/>
      <c r="W44" s="110">
        <f t="shared" si="6"/>
        <v>86.71519264705881</v>
      </c>
      <c r="X44" s="128"/>
    </row>
    <row r="45" spans="1:24" s="43" customFormat="1" ht="15.75">
      <c r="A45" s="107">
        <v>28</v>
      </c>
      <c r="B45" s="108" t="s">
        <v>221</v>
      </c>
      <c r="C45" s="110">
        <f t="shared" si="4"/>
        <v>231</v>
      </c>
      <c r="D45" s="112"/>
      <c r="E45" s="110">
        <f>'BIEU 56'!C44</f>
        <v>231</v>
      </c>
      <c r="F45" s="110"/>
      <c r="G45" s="110"/>
      <c r="H45" s="110"/>
      <c r="I45" s="110">
        <f t="shared" si="5"/>
        <v>217.378431</v>
      </c>
      <c r="J45" s="112"/>
      <c r="K45" s="110">
        <f>'BIEU 56'!D44</f>
        <v>217.378431</v>
      </c>
      <c r="L45" s="112"/>
      <c r="M45" s="112"/>
      <c r="N45" s="112"/>
      <c r="O45" s="112"/>
      <c r="P45" s="112"/>
      <c r="Q45" s="155"/>
      <c r="R45" s="155"/>
      <c r="S45" s="155"/>
      <c r="T45" s="112"/>
      <c r="U45" s="110">
        <f t="shared" si="7"/>
        <v>94.10321688311689</v>
      </c>
      <c r="V45" s="110"/>
      <c r="W45" s="110">
        <f t="shared" si="6"/>
        <v>94.10321688311689</v>
      </c>
      <c r="X45" s="128"/>
    </row>
    <row r="46" spans="1:24" s="43" customFormat="1" ht="15.75">
      <c r="A46" s="107">
        <v>29</v>
      </c>
      <c r="B46" s="108" t="s">
        <v>222</v>
      </c>
      <c r="C46" s="110">
        <f t="shared" si="4"/>
        <v>163</v>
      </c>
      <c r="D46" s="112"/>
      <c r="E46" s="110">
        <f>'BIEU 56'!C45</f>
        <v>163</v>
      </c>
      <c r="F46" s="110"/>
      <c r="G46" s="110"/>
      <c r="H46" s="110"/>
      <c r="I46" s="110">
        <f t="shared" si="5"/>
        <v>79.499</v>
      </c>
      <c r="J46" s="112"/>
      <c r="K46" s="110">
        <f>'BIEU 56'!D45</f>
        <v>79.499</v>
      </c>
      <c r="L46" s="112"/>
      <c r="M46" s="112"/>
      <c r="N46" s="112"/>
      <c r="O46" s="112"/>
      <c r="P46" s="112"/>
      <c r="Q46" s="155"/>
      <c r="R46" s="155"/>
      <c r="S46" s="155"/>
      <c r="T46" s="112"/>
      <c r="U46" s="110">
        <f t="shared" si="7"/>
        <v>48.772392638036806</v>
      </c>
      <c r="V46" s="110"/>
      <c r="W46" s="110">
        <f t="shared" si="6"/>
        <v>48.772392638036806</v>
      </c>
      <c r="X46" s="128"/>
    </row>
    <row r="47" spans="1:24" s="43" customFormat="1" ht="15.75">
      <c r="A47" s="107">
        <v>30</v>
      </c>
      <c r="B47" s="108" t="s">
        <v>223</v>
      </c>
      <c r="C47" s="110">
        <f t="shared" si="4"/>
        <v>138</v>
      </c>
      <c r="D47" s="112"/>
      <c r="E47" s="110">
        <f>'BIEU 56'!C46</f>
        <v>138</v>
      </c>
      <c r="F47" s="110"/>
      <c r="G47" s="110"/>
      <c r="H47" s="110"/>
      <c r="I47" s="110">
        <f t="shared" si="5"/>
        <v>116.5625</v>
      </c>
      <c r="J47" s="112"/>
      <c r="K47" s="110">
        <f>'BIEU 56'!D46</f>
        <v>116.5625</v>
      </c>
      <c r="L47" s="112"/>
      <c r="M47" s="112"/>
      <c r="N47" s="112"/>
      <c r="O47" s="112"/>
      <c r="P47" s="112"/>
      <c r="Q47" s="155"/>
      <c r="R47" s="155"/>
      <c r="S47" s="155"/>
      <c r="T47" s="112"/>
      <c r="U47" s="110">
        <f t="shared" si="7"/>
        <v>84.46557971014492</v>
      </c>
      <c r="V47" s="110"/>
      <c r="W47" s="110">
        <f t="shared" si="6"/>
        <v>84.46557971014492</v>
      </c>
      <c r="X47" s="128"/>
    </row>
    <row r="48" spans="1:24" s="43" customFormat="1" ht="15.75">
      <c r="A48" s="107">
        <v>31</v>
      </c>
      <c r="B48" s="130" t="s">
        <v>224</v>
      </c>
      <c r="C48" s="110">
        <f t="shared" si="4"/>
        <v>122</v>
      </c>
      <c r="D48" s="112"/>
      <c r="E48" s="110">
        <f>'BIEU 56'!C47</f>
        <v>122</v>
      </c>
      <c r="F48" s="110"/>
      <c r="G48" s="110"/>
      <c r="H48" s="110"/>
      <c r="I48" s="110">
        <f t="shared" si="5"/>
        <v>123.026298</v>
      </c>
      <c r="J48" s="112"/>
      <c r="K48" s="110">
        <f>'BIEU 56'!D47</f>
        <v>123.026298</v>
      </c>
      <c r="L48" s="112"/>
      <c r="M48" s="112"/>
      <c r="N48" s="112"/>
      <c r="O48" s="112"/>
      <c r="P48" s="112"/>
      <c r="Q48" s="155"/>
      <c r="R48" s="155"/>
      <c r="S48" s="155"/>
      <c r="T48" s="112"/>
      <c r="U48" s="110">
        <f t="shared" si="7"/>
        <v>100.84122786885246</v>
      </c>
      <c r="V48" s="110"/>
      <c r="W48" s="110">
        <f t="shared" si="6"/>
        <v>100.84122786885246</v>
      </c>
      <c r="X48" s="128"/>
    </row>
    <row r="49" spans="1:24" s="43" customFormat="1" ht="15.75">
      <c r="A49" s="107">
        <v>32</v>
      </c>
      <c r="B49" s="108" t="s">
        <v>225</v>
      </c>
      <c r="C49" s="110">
        <f t="shared" si="4"/>
        <v>238</v>
      </c>
      <c r="D49" s="112"/>
      <c r="E49" s="110">
        <f>'BIEU 56'!C48</f>
        <v>238</v>
      </c>
      <c r="F49" s="110"/>
      <c r="G49" s="110"/>
      <c r="H49" s="110"/>
      <c r="I49" s="110">
        <f t="shared" si="5"/>
        <v>240.478166</v>
      </c>
      <c r="J49" s="112"/>
      <c r="K49" s="110">
        <f>'BIEU 56'!D48</f>
        <v>240.478166</v>
      </c>
      <c r="L49" s="112"/>
      <c r="M49" s="112"/>
      <c r="N49" s="112"/>
      <c r="O49" s="112"/>
      <c r="P49" s="112"/>
      <c r="Q49" s="155"/>
      <c r="R49" s="155"/>
      <c r="S49" s="155"/>
      <c r="T49" s="112"/>
      <c r="U49" s="110">
        <f t="shared" si="7"/>
        <v>101.04124621848737</v>
      </c>
      <c r="V49" s="110"/>
      <c r="W49" s="110">
        <f t="shared" si="6"/>
        <v>101.04124621848737</v>
      </c>
      <c r="X49" s="128"/>
    </row>
    <row r="50" spans="1:24" s="43" customFormat="1" ht="15.75">
      <c r="A50" s="107">
        <v>33</v>
      </c>
      <c r="B50" s="108" t="s">
        <v>227</v>
      </c>
      <c r="C50" s="110">
        <f t="shared" si="4"/>
        <v>2325</v>
      </c>
      <c r="D50" s="112"/>
      <c r="E50" s="110">
        <f>'BIEU 56'!C49</f>
        <v>2325</v>
      </c>
      <c r="F50" s="110"/>
      <c r="G50" s="110"/>
      <c r="H50" s="110"/>
      <c r="I50" s="110">
        <f t="shared" si="5"/>
        <v>2180.968</v>
      </c>
      <c r="J50" s="112"/>
      <c r="K50" s="110">
        <f>'BIEU 56'!D49</f>
        <v>2180.968</v>
      </c>
      <c r="L50" s="112"/>
      <c r="M50" s="112"/>
      <c r="N50" s="112"/>
      <c r="O50" s="112"/>
      <c r="P50" s="112"/>
      <c r="Q50" s="155"/>
      <c r="R50" s="155"/>
      <c r="S50" s="155"/>
      <c r="T50" s="112"/>
      <c r="U50" s="110">
        <f t="shared" si="7"/>
        <v>93.80507526881719</v>
      </c>
      <c r="V50" s="110"/>
      <c r="W50" s="110">
        <f t="shared" si="6"/>
        <v>93.80507526881719</v>
      </c>
      <c r="X50" s="128"/>
    </row>
    <row r="51" spans="1:24" s="43" customFormat="1" ht="15.75">
      <c r="A51" s="107">
        <v>34</v>
      </c>
      <c r="B51" s="108" t="s">
        <v>228</v>
      </c>
      <c r="C51" s="110">
        <f t="shared" si="4"/>
        <v>6237</v>
      </c>
      <c r="D51" s="110">
        <f>'BIEU 55'!C23</f>
        <v>1500</v>
      </c>
      <c r="E51" s="110">
        <f>'BIEU 56'!C50</f>
        <v>4737</v>
      </c>
      <c r="F51" s="110"/>
      <c r="G51" s="110"/>
      <c r="H51" s="110"/>
      <c r="I51" s="110">
        <f t="shared" si="5"/>
        <v>6261.455</v>
      </c>
      <c r="J51" s="110">
        <f>'BIEU 55'!D23</f>
        <v>1481.579</v>
      </c>
      <c r="K51" s="110">
        <f>'BIEU 56'!D50</f>
        <v>4779.876</v>
      </c>
      <c r="L51" s="112"/>
      <c r="M51" s="112"/>
      <c r="N51" s="112"/>
      <c r="O51" s="112"/>
      <c r="P51" s="112"/>
      <c r="Q51" s="155"/>
      <c r="R51" s="155"/>
      <c r="S51" s="155"/>
      <c r="T51" s="112"/>
      <c r="U51" s="110">
        <f t="shared" si="7"/>
        <v>100.39209555876224</v>
      </c>
      <c r="V51" s="110">
        <f>J51/D51*100</f>
        <v>98.77193333333332</v>
      </c>
      <c r="W51" s="110">
        <f t="shared" si="6"/>
        <v>100.9051298290057</v>
      </c>
      <c r="X51" s="128"/>
    </row>
    <row r="52" spans="1:24" s="43" customFormat="1" ht="15.75">
      <c r="A52" s="107">
        <v>35</v>
      </c>
      <c r="B52" s="108" t="s">
        <v>229</v>
      </c>
      <c r="C52" s="110">
        <f t="shared" si="4"/>
        <v>850</v>
      </c>
      <c r="D52" s="110"/>
      <c r="E52" s="110">
        <f>'BIEU 56'!C51</f>
        <v>850</v>
      </c>
      <c r="F52" s="110"/>
      <c r="G52" s="110"/>
      <c r="H52" s="110"/>
      <c r="I52" s="110">
        <f t="shared" si="5"/>
        <v>944.577</v>
      </c>
      <c r="J52" s="110">
        <f>'BIEU 55'!D20</f>
        <v>194.577</v>
      </c>
      <c r="K52" s="110">
        <f>'BIEU 56'!D51</f>
        <v>750</v>
      </c>
      <c r="L52" s="112"/>
      <c r="M52" s="112"/>
      <c r="N52" s="112"/>
      <c r="O52" s="112"/>
      <c r="P52" s="112"/>
      <c r="Q52" s="155"/>
      <c r="R52" s="155"/>
      <c r="S52" s="155"/>
      <c r="T52" s="112"/>
      <c r="U52" s="110">
        <f t="shared" si="7"/>
        <v>111.12670588235294</v>
      </c>
      <c r="V52" s="110"/>
      <c r="W52" s="110">
        <f t="shared" si="6"/>
        <v>88.23529411764706</v>
      </c>
      <c r="X52" s="128"/>
    </row>
    <row r="53" spans="1:24" s="43" customFormat="1" ht="15.75">
      <c r="A53" s="107">
        <v>36</v>
      </c>
      <c r="B53" s="130" t="s">
        <v>230</v>
      </c>
      <c r="C53" s="110">
        <f t="shared" si="4"/>
        <v>92066</v>
      </c>
      <c r="D53" s="110">
        <f>'BIEU 55'!C21</f>
        <v>92066</v>
      </c>
      <c r="E53" s="134">
        <f>'BIEU 56'!C52</f>
        <v>0</v>
      </c>
      <c r="F53" s="134"/>
      <c r="G53" s="134"/>
      <c r="H53" s="134"/>
      <c r="I53" s="110">
        <f t="shared" si="5"/>
        <v>105705.8</v>
      </c>
      <c r="J53" s="110">
        <f>'BIEU 55'!D21</f>
        <v>99205.153</v>
      </c>
      <c r="K53" s="110">
        <f>'BIEU 56'!D52</f>
        <v>6500.647000000001</v>
      </c>
      <c r="L53" s="112"/>
      <c r="M53" s="112"/>
      <c r="N53" s="112"/>
      <c r="O53" s="112"/>
      <c r="P53" s="112"/>
      <c r="Q53" s="155"/>
      <c r="R53" s="155"/>
      <c r="S53" s="155"/>
      <c r="T53" s="112"/>
      <c r="U53" s="110"/>
      <c r="V53" s="110">
        <f>J53/D53*100</f>
        <v>107.75438598396802</v>
      </c>
      <c r="W53" s="110"/>
      <c r="X53" s="128"/>
    </row>
    <row r="54" spans="1:24" s="43" customFormat="1" ht="15.75">
      <c r="A54" s="107">
        <v>37</v>
      </c>
      <c r="B54" s="130" t="s">
        <v>611</v>
      </c>
      <c r="C54" s="110">
        <f t="shared" si="4"/>
        <v>886</v>
      </c>
      <c r="D54" s="110">
        <f>'BIEU 55'!C22</f>
        <v>886</v>
      </c>
      <c r="E54" s="134">
        <v>0</v>
      </c>
      <c r="F54" s="134"/>
      <c r="G54" s="134"/>
      <c r="H54" s="134"/>
      <c r="I54" s="110">
        <f t="shared" si="5"/>
        <v>1483.885</v>
      </c>
      <c r="J54" s="110">
        <f>'BIEU 55'!D22</f>
        <v>1483.885</v>
      </c>
      <c r="K54" s="112"/>
      <c r="L54" s="112"/>
      <c r="M54" s="112"/>
      <c r="N54" s="112"/>
      <c r="O54" s="112"/>
      <c r="P54" s="112"/>
      <c r="Q54" s="155"/>
      <c r="R54" s="155"/>
      <c r="S54" s="155"/>
      <c r="T54" s="112"/>
      <c r="U54" s="134"/>
      <c r="V54" s="110">
        <f>J54/D54*100</f>
        <v>167.4813769751693</v>
      </c>
      <c r="W54" s="110"/>
      <c r="X54" s="128"/>
    </row>
    <row r="55" spans="1:24" s="43" customFormat="1" ht="15.75">
      <c r="A55" s="107">
        <v>38</v>
      </c>
      <c r="B55" s="130" t="s">
        <v>235</v>
      </c>
      <c r="C55" s="110">
        <f t="shared" si="4"/>
        <v>2000</v>
      </c>
      <c r="D55" s="112"/>
      <c r="E55" s="136">
        <f>'BIEU 56'!C53</f>
        <v>2000</v>
      </c>
      <c r="F55" s="136"/>
      <c r="G55" s="136"/>
      <c r="H55" s="136"/>
      <c r="I55" s="134">
        <f t="shared" si="5"/>
        <v>0</v>
      </c>
      <c r="J55" s="141"/>
      <c r="K55" s="112"/>
      <c r="L55" s="112"/>
      <c r="M55" s="112"/>
      <c r="N55" s="112"/>
      <c r="O55" s="112"/>
      <c r="P55" s="112"/>
      <c r="Q55" s="155"/>
      <c r="R55" s="155"/>
      <c r="S55" s="155"/>
      <c r="T55" s="112"/>
      <c r="U55" s="134">
        <f>I55/C55*100</f>
        <v>0</v>
      </c>
      <c r="V55" s="110"/>
      <c r="W55" s="134">
        <f t="shared" si="6"/>
        <v>0</v>
      </c>
      <c r="X55" s="128"/>
    </row>
    <row r="56" spans="1:24" s="9" customFormat="1" ht="46.5" customHeight="1">
      <c r="A56" s="118">
        <v>39</v>
      </c>
      <c r="B56" s="130" t="s">
        <v>236</v>
      </c>
      <c r="C56" s="131">
        <f t="shared" si="4"/>
        <v>4500</v>
      </c>
      <c r="D56" s="133"/>
      <c r="E56" s="137">
        <f>'BIEU 56'!C54</f>
        <v>4500</v>
      </c>
      <c r="F56" s="137"/>
      <c r="G56" s="137"/>
      <c r="H56" s="137"/>
      <c r="I56" s="134">
        <f t="shared" si="5"/>
        <v>0</v>
      </c>
      <c r="J56" s="133"/>
      <c r="K56" s="133"/>
      <c r="L56" s="133"/>
      <c r="M56" s="133"/>
      <c r="N56" s="133"/>
      <c r="O56" s="133"/>
      <c r="P56" s="133"/>
      <c r="Q56" s="392"/>
      <c r="R56" s="392"/>
      <c r="S56" s="392"/>
      <c r="T56" s="133"/>
      <c r="U56" s="135">
        <f>I56/C56*100</f>
        <v>0</v>
      </c>
      <c r="V56" s="110"/>
      <c r="W56" s="134">
        <f t="shared" si="6"/>
        <v>0</v>
      </c>
      <c r="X56" s="128"/>
    </row>
    <row r="57" spans="1:24" s="9" customFormat="1" ht="15.75">
      <c r="A57" s="118">
        <v>40</v>
      </c>
      <c r="B57" s="130" t="s">
        <v>237</v>
      </c>
      <c r="C57" s="131">
        <f t="shared" si="4"/>
        <v>1800</v>
      </c>
      <c r="D57" s="133"/>
      <c r="E57" s="137">
        <f>'BIEU 56'!C55</f>
        <v>1800</v>
      </c>
      <c r="F57" s="137"/>
      <c r="G57" s="137"/>
      <c r="H57" s="137"/>
      <c r="I57" s="134">
        <f t="shared" si="5"/>
        <v>0</v>
      </c>
      <c r="J57" s="133"/>
      <c r="K57" s="131"/>
      <c r="L57" s="133"/>
      <c r="M57" s="133"/>
      <c r="N57" s="133"/>
      <c r="O57" s="133"/>
      <c r="P57" s="133"/>
      <c r="Q57" s="392"/>
      <c r="R57" s="392"/>
      <c r="S57" s="392"/>
      <c r="T57" s="133"/>
      <c r="U57" s="135">
        <f>I57/C57*100</f>
        <v>0</v>
      </c>
      <c r="V57" s="110"/>
      <c r="W57" s="134">
        <f t="shared" si="6"/>
        <v>0</v>
      </c>
      <c r="X57" s="128"/>
    </row>
    <row r="58" spans="1:24" s="43" customFormat="1" ht="15.75">
      <c r="A58" s="107">
        <v>41</v>
      </c>
      <c r="B58" s="139" t="s">
        <v>232</v>
      </c>
      <c r="C58" s="110">
        <f t="shared" si="4"/>
        <v>1904</v>
      </c>
      <c r="D58" s="112"/>
      <c r="E58" s="110">
        <f>'BIEU 56'!C58</f>
        <v>1904</v>
      </c>
      <c r="F58" s="110"/>
      <c r="G58" s="110"/>
      <c r="H58" s="110"/>
      <c r="I58" s="110">
        <f t="shared" si="5"/>
        <v>1314.089</v>
      </c>
      <c r="J58" s="112"/>
      <c r="K58" s="110">
        <f>'BIEU 56'!D58</f>
        <v>1314.089</v>
      </c>
      <c r="L58" s="112"/>
      <c r="M58" s="112"/>
      <c r="N58" s="112"/>
      <c r="O58" s="112"/>
      <c r="P58" s="112"/>
      <c r="Q58" s="155"/>
      <c r="R58" s="155"/>
      <c r="S58" s="155"/>
      <c r="T58" s="112"/>
      <c r="U58" s="110">
        <f>I58/C58*100</f>
        <v>69.0172794117647</v>
      </c>
      <c r="V58" s="110"/>
      <c r="W58" s="110">
        <f t="shared" si="6"/>
        <v>69.0172794117647</v>
      </c>
      <c r="X58" s="128"/>
    </row>
    <row r="59" spans="1:24" s="43" customFormat="1" ht="15.75">
      <c r="A59" s="107">
        <v>42</v>
      </c>
      <c r="B59" s="139" t="s">
        <v>238</v>
      </c>
      <c r="C59" s="110">
        <f t="shared" si="4"/>
        <v>0</v>
      </c>
      <c r="D59" s="134">
        <f>'BIEU 55'!C24</f>
        <v>0</v>
      </c>
      <c r="E59" s="110"/>
      <c r="F59" s="110"/>
      <c r="G59" s="110"/>
      <c r="H59" s="110"/>
      <c r="I59" s="110">
        <f t="shared" si="5"/>
        <v>1275.057</v>
      </c>
      <c r="J59" s="110">
        <f>'BIEU 55'!D24</f>
        <v>721.518</v>
      </c>
      <c r="K59" s="110">
        <f>'BIEU 56'!D57</f>
        <v>553.539</v>
      </c>
      <c r="L59" s="112"/>
      <c r="M59" s="112"/>
      <c r="N59" s="112"/>
      <c r="O59" s="112"/>
      <c r="P59" s="112"/>
      <c r="Q59" s="155"/>
      <c r="R59" s="155"/>
      <c r="S59" s="155"/>
      <c r="T59" s="112"/>
      <c r="U59" s="110"/>
      <c r="V59" s="110"/>
      <c r="W59" s="110"/>
      <c r="X59" s="128"/>
    </row>
    <row r="60" spans="1:24" s="43" customFormat="1" ht="15.75">
      <c r="A60" s="107">
        <v>43</v>
      </c>
      <c r="B60" s="139" t="s">
        <v>242</v>
      </c>
      <c r="C60" s="110">
        <f t="shared" si="4"/>
        <v>1800</v>
      </c>
      <c r="D60" s="110">
        <f>'BIEU 55'!C25</f>
        <v>1800</v>
      </c>
      <c r="E60" s="110"/>
      <c r="F60" s="110"/>
      <c r="G60" s="110"/>
      <c r="H60" s="110"/>
      <c r="I60" s="134">
        <f t="shared" si="5"/>
        <v>0</v>
      </c>
      <c r="J60" s="110"/>
      <c r="K60" s="110"/>
      <c r="L60" s="112"/>
      <c r="M60" s="112"/>
      <c r="N60" s="112"/>
      <c r="O60" s="112"/>
      <c r="P60" s="112"/>
      <c r="Q60" s="155"/>
      <c r="R60" s="155"/>
      <c r="S60" s="155"/>
      <c r="T60" s="112"/>
      <c r="U60" s="110"/>
      <c r="V60" s="110"/>
      <c r="W60" s="110"/>
      <c r="X60" s="128"/>
    </row>
    <row r="61" spans="1:24" s="43" customFormat="1" ht="15.75">
      <c r="A61" s="107">
        <v>44</v>
      </c>
      <c r="B61" s="139" t="s">
        <v>613</v>
      </c>
      <c r="C61" s="110">
        <f t="shared" si="4"/>
        <v>13614</v>
      </c>
      <c r="D61" s="110">
        <f>'BIEU 55'!C26</f>
        <v>13614</v>
      </c>
      <c r="E61" s="110"/>
      <c r="F61" s="110"/>
      <c r="G61" s="110"/>
      <c r="H61" s="110"/>
      <c r="I61" s="134">
        <f t="shared" si="5"/>
        <v>0</v>
      </c>
      <c r="J61" s="110"/>
      <c r="K61" s="110"/>
      <c r="L61" s="112"/>
      <c r="M61" s="112"/>
      <c r="N61" s="112"/>
      <c r="O61" s="112"/>
      <c r="P61" s="112"/>
      <c r="Q61" s="155"/>
      <c r="R61" s="155"/>
      <c r="S61" s="155"/>
      <c r="T61" s="112"/>
      <c r="U61" s="110"/>
      <c r="V61" s="110"/>
      <c r="W61" s="110"/>
      <c r="X61" s="128"/>
    </row>
    <row r="62" spans="1:24" s="9" customFormat="1" ht="36.75" customHeight="1">
      <c r="A62" s="8" t="s">
        <v>25</v>
      </c>
      <c r="B62" s="113" t="s">
        <v>72</v>
      </c>
      <c r="C62" s="133"/>
      <c r="D62" s="133"/>
      <c r="E62" s="131"/>
      <c r="F62" s="131"/>
      <c r="G62" s="131"/>
      <c r="H62" s="131"/>
      <c r="I62" s="468">
        <f aca="true" t="shared" si="8" ref="I62:I67">SUM(J62:T62)</f>
        <v>0</v>
      </c>
      <c r="J62" s="133"/>
      <c r="K62" s="133"/>
      <c r="L62" s="133"/>
      <c r="M62" s="133"/>
      <c r="N62" s="133"/>
      <c r="O62" s="133"/>
      <c r="P62" s="133"/>
      <c r="Q62" s="392"/>
      <c r="R62" s="392"/>
      <c r="S62" s="392"/>
      <c r="T62" s="133"/>
      <c r="U62" s="110"/>
      <c r="V62" s="110"/>
      <c r="W62" s="110"/>
      <c r="X62" s="128"/>
    </row>
    <row r="63" spans="1:24" s="9" customFormat="1" ht="38.25" customHeight="1">
      <c r="A63" s="8" t="s">
        <v>28</v>
      </c>
      <c r="B63" s="469" t="s">
        <v>73</v>
      </c>
      <c r="C63" s="133"/>
      <c r="D63" s="133"/>
      <c r="E63" s="133"/>
      <c r="F63" s="133"/>
      <c r="G63" s="133"/>
      <c r="H63" s="133"/>
      <c r="I63" s="468">
        <f t="shared" si="8"/>
        <v>0</v>
      </c>
      <c r="J63" s="133"/>
      <c r="K63" s="133"/>
      <c r="L63" s="133"/>
      <c r="M63" s="133"/>
      <c r="N63" s="133"/>
      <c r="O63" s="133"/>
      <c r="P63" s="133"/>
      <c r="Q63" s="392"/>
      <c r="R63" s="392"/>
      <c r="S63" s="392"/>
      <c r="T63" s="133"/>
      <c r="U63" s="110"/>
      <c r="V63" s="110"/>
      <c r="W63" s="110"/>
      <c r="X63" s="128"/>
    </row>
    <row r="64" spans="1:24" s="9" customFormat="1" ht="21" customHeight="1">
      <c r="A64" s="8" t="s">
        <v>30</v>
      </c>
      <c r="B64" s="124" t="s">
        <v>74</v>
      </c>
      <c r="C64" s="133">
        <f aca="true" t="shared" si="9" ref="C64:C69">D64+E64+F64+G64+H64</f>
        <v>6833</v>
      </c>
      <c r="D64" s="133"/>
      <c r="E64" s="133"/>
      <c r="F64" s="133"/>
      <c r="G64" s="133">
        <v>6833</v>
      </c>
      <c r="H64" s="133"/>
      <c r="I64" s="468">
        <f t="shared" si="8"/>
        <v>0</v>
      </c>
      <c r="J64" s="133"/>
      <c r="K64" s="133"/>
      <c r="L64" s="133"/>
      <c r="M64" s="133"/>
      <c r="N64" s="133"/>
      <c r="O64" s="133"/>
      <c r="P64" s="133"/>
      <c r="Q64" s="392"/>
      <c r="R64" s="392"/>
      <c r="S64" s="392"/>
      <c r="T64" s="133"/>
      <c r="U64" s="135">
        <f>I64/C64*100</f>
        <v>0</v>
      </c>
      <c r="V64" s="110"/>
      <c r="W64" s="110"/>
      <c r="X64" s="128"/>
    </row>
    <row r="65" spans="1:24" s="9" customFormat="1" ht="39.75" customHeight="1">
      <c r="A65" s="8" t="s">
        <v>32</v>
      </c>
      <c r="B65" s="469" t="s">
        <v>75</v>
      </c>
      <c r="C65" s="133">
        <f t="shared" si="9"/>
        <v>175</v>
      </c>
      <c r="D65" s="133"/>
      <c r="E65" s="133"/>
      <c r="F65" s="133"/>
      <c r="G65" s="133"/>
      <c r="H65" s="133">
        <v>175</v>
      </c>
      <c r="I65" s="468">
        <f t="shared" si="8"/>
        <v>0</v>
      </c>
      <c r="J65" s="133"/>
      <c r="K65" s="133"/>
      <c r="L65" s="133"/>
      <c r="M65" s="133"/>
      <c r="N65" s="133"/>
      <c r="O65" s="133"/>
      <c r="P65" s="133"/>
      <c r="Q65" s="392"/>
      <c r="R65" s="392"/>
      <c r="S65" s="392"/>
      <c r="T65" s="133"/>
      <c r="U65" s="131"/>
      <c r="V65" s="131"/>
      <c r="W65" s="131"/>
      <c r="X65" s="359"/>
    </row>
    <row r="66" spans="1:24" s="395" customFormat="1" ht="36.75" customHeight="1">
      <c r="A66" s="451" t="s">
        <v>34</v>
      </c>
      <c r="B66" s="466" t="s">
        <v>76</v>
      </c>
      <c r="C66" s="392">
        <f t="shared" si="9"/>
        <v>44800</v>
      </c>
      <c r="D66" s="392"/>
      <c r="E66" s="392"/>
      <c r="F66" s="392">
        <v>44800</v>
      </c>
      <c r="G66" s="392"/>
      <c r="H66" s="392"/>
      <c r="I66" s="468">
        <f>SUM(J66:T66)</f>
        <v>68244.707</v>
      </c>
      <c r="J66" s="392"/>
      <c r="K66" s="392"/>
      <c r="L66" s="392"/>
      <c r="M66" s="392"/>
      <c r="N66" s="392"/>
      <c r="O66" s="392"/>
      <c r="P66" s="392"/>
      <c r="Q66" s="392">
        <f>68244707000/1000000</f>
        <v>68244.707</v>
      </c>
      <c r="R66" s="392"/>
      <c r="S66" s="392"/>
      <c r="T66" s="392"/>
      <c r="U66" s="392">
        <f>I66/C66*100</f>
        <v>152.33193526785712</v>
      </c>
      <c r="V66" s="131"/>
      <c r="W66" s="131"/>
      <c r="X66" s="359">
        <f>Q66/F66*100</f>
        <v>152.33193526785712</v>
      </c>
    </row>
    <row r="67" spans="1:24" s="395" customFormat="1" ht="36" customHeight="1">
      <c r="A67" s="451" t="s">
        <v>77</v>
      </c>
      <c r="B67" s="466" t="s">
        <v>78</v>
      </c>
      <c r="C67" s="467">
        <f t="shared" si="9"/>
        <v>0</v>
      </c>
      <c r="D67" s="392"/>
      <c r="E67" s="392"/>
      <c r="F67" s="392"/>
      <c r="G67" s="392"/>
      <c r="H67" s="392"/>
      <c r="I67" s="468">
        <f t="shared" si="8"/>
        <v>35732.660195</v>
      </c>
      <c r="J67" s="392"/>
      <c r="K67" s="392"/>
      <c r="L67" s="392"/>
      <c r="M67" s="392"/>
      <c r="N67" s="392"/>
      <c r="O67" s="392"/>
      <c r="P67" s="392"/>
      <c r="Q67" s="392"/>
      <c r="R67" s="392"/>
      <c r="S67" s="392">
        <f>35732660195/1000000</f>
        <v>35732.660195</v>
      </c>
      <c r="T67" s="392"/>
      <c r="U67" s="154"/>
      <c r="V67" s="154"/>
      <c r="W67" s="154"/>
      <c r="X67" s="346"/>
    </row>
    <row r="68" spans="1:24" s="395" customFormat="1" ht="15.75">
      <c r="A68" s="451" t="s">
        <v>616</v>
      </c>
      <c r="B68" s="466" t="s">
        <v>618</v>
      </c>
      <c r="C68" s="467">
        <f t="shared" si="9"/>
        <v>0</v>
      </c>
      <c r="D68" s="392"/>
      <c r="E68" s="392"/>
      <c r="F68" s="392"/>
      <c r="G68" s="392"/>
      <c r="H68" s="392"/>
      <c r="I68" s="468">
        <f>SUM(J68:T68)</f>
        <v>10428.678814</v>
      </c>
      <c r="J68" s="392"/>
      <c r="K68" s="392"/>
      <c r="L68" s="392"/>
      <c r="M68" s="392"/>
      <c r="N68" s="392"/>
      <c r="O68" s="392"/>
      <c r="P68" s="392"/>
      <c r="Q68" s="392"/>
      <c r="R68" s="392">
        <v>10428.678814</v>
      </c>
      <c r="S68" s="392"/>
      <c r="T68" s="392"/>
      <c r="U68" s="154"/>
      <c r="V68" s="110"/>
      <c r="W68" s="110"/>
      <c r="X68" s="128"/>
    </row>
    <row r="69" spans="1:24" s="9" customFormat="1" ht="36" customHeight="1">
      <c r="A69" s="8" t="s">
        <v>619</v>
      </c>
      <c r="B69" s="452" t="s">
        <v>605</v>
      </c>
      <c r="C69" s="142">
        <f t="shared" si="9"/>
        <v>0</v>
      </c>
      <c r="D69" s="133"/>
      <c r="E69" s="133"/>
      <c r="F69" s="133"/>
      <c r="G69" s="133"/>
      <c r="H69" s="133"/>
      <c r="I69" s="468">
        <f>SUM(J69:T69)</f>
        <v>1629.4165</v>
      </c>
      <c r="J69" s="133"/>
      <c r="K69" s="133"/>
      <c r="L69" s="133"/>
      <c r="M69" s="133"/>
      <c r="N69" s="133"/>
      <c r="O69" s="133"/>
      <c r="P69" s="133"/>
      <c r="Q69" s="392"/>
      <c r="R69" s="392"/>
      <c r="S69" s="392"/>
      <c r="T69" s="133">
        <v>1629.4165</v>
      </c>
      <c r="U69" s="110"/>
      <c r="V69" s="110"/>
      <c r="W69" s="110"/>
      <c r="X69" s="128"/>
    </row>
    <row r="70" spans="1:23" s="9" customFormat="1" ht="36" customHeight="1">
      <c r="A70" s="352"/>
      <c r="B70" s="353"/>
      <c r="C70" s="354"/>
      <c r="D70" s="354"/>
      <c r="E70" s="354"/>
      <c r="F70" s="354"/>
      <c r="G70" s="354"/>
      <c r="H70" s="354"/>
      <c r="I70" s="354"/>
      <c r="J70" s="354"/>
      <c r="K70" s="354"/>
      <c r="L70" s="354"/>
      <c r="M70" s="354"/>
      <c r="N70" s="354"/>
      <c r="O70" s="354"/>
      <c r="P70" s="354"/>
      <c r="Q70" s="465"/>
      <c r="R70" s="465"/>
      <c r="S70" s="465"/>
      <c r="T70" s="354"/>
      <c r="U70" s="355"/>
      <c r="V70" s="354"/>
      <c r="W70" s="355"/>
    </row>
    <row r="71" spans="1:23" s="9" customFormat="1" ht="36" customHeight="1">
      <c r="A71" s="352"/>
      <c r="B71" s="353"/>
      <c r="C71" s="354"/>
      <c r="D71" s="354"/>
      <c r="E71" s="354"/>
      <c r="F71" s="354"/>
      <c r="G71" s="354"/>
      <c r="H71" s="354"/>
      <c r="I71" s="354"/>
      <c r="J71" s="354"/>
      <c r="K71" s="354"/>
      <c r="L71" s="354"/>
      <c r="M71" s="354"/>
      <c r="N71" s="354"/>
      <c r="O71" s="354"/>
      <c r="P71" s="354"/>
      <c r="Q71" s="465"/>
      <c r="R71" s="465"/>
      <c r="S71" s="465"/>
      <c r="T71" s="354"/>
      <c r="U71" s="355"/>
      <c r="V71" s="354"/>
      <c r="W71" s="355"/>
    </row>
    <row r="72" spans="1:23" s="9" customFormat="1" ht="36" customHeight="1">
      <c r="A72" s="352"/>
      <c r="B72" s="353"/>
      <c r="C72" s="354"/>
      <c r="D72" s="354"/>
      <c r="E72" s="354"/>
      <c r="F72" s="354"/>
      <c r="G72" s="354"/>
      <c r="H72" s="354"/>
      <c r="I72" s="354"/>
      <c r="J72" s="354"/>
      <c r="K72" s="354"/>
      <c r="L72" s="354"/>
      <c r="M72" s="354"/>
      <c r="N72" s="354"/>
      <c r="O72" s="354"/>
      <c r="P72" s="354"/>
      <c r="Q72" s="465"/>
      <c r="R72" s="465"/>
      <c r="S72" s="465"/>
      <c r="T72" s="354"/>
      <c r="U72" s="355"/>
      <c r="V72" s="354"/>
      <c r="W72" s="355"/>
    </row>
    <row r="73" spans="1:23" s="9" customFormat="1" ht="36" customHeight="1">
      <c r="A73" s="352"/>
      <c r="B73" s="353"/>
      <c r="C73" s="354"/>
      <c r="D73" s="354"/>
      <c r="E73" s="354"/>
      <c r="F73" s="354"/>
      <c r="G73" s="354"/>
      <c r="H73" s="354"/>
      <c r="I73" s="354"/>
      <c r="J73" s="354"/>
      <c r="K73" s="354"/>
      <c r="L73" s="354"/>
      <c r="M73" s="354"/>
      <c r="N73" s="354"/>
      <c r="O73" s="354"/>
      <c r="P73" s="354"/>
      <c r="Q73" s="465"/>
      <c r="R73" s="465"/>
      <c r="S73" s="465"/>
      <c r="T73" s="354"/>
      <c r="U73" s="355"/>
      <c r="V73" s="354"/>
      <c r="W73" s="355"/>
    </row>
    <row r="74" spans="1:23" s="9" customFormat="1" ht="36" customHeight="1">
      <c r="A74" s="352"/>
      <c r="B74" s="353"/>
      <c r="C74" s="354"/>
      <c r="D74" s="354"/>
      <c r="E74" s="354"/>
      <c r="F74" s="354"/>
      <c r="G74" s="354"/>
      <c r="H74" s="354"/>
      <c r="I74" s="354"/>
      <c r="J74" s="354"/>
      <c r="K74" s="354"/>
      <c r="L74" s="354"/>
      <c r="M74" s="354"/>
      <c r="N74" s="354"/>
      <c r="O74" s="354"/>
      <c r="P74" s="354"/>
      <c r="Q74" s="465"/>
      <c r="R74" s="465"/>
      <c r="S74" s="465"/>
      <c r="T74" s="354"/>
      <c r="U74" s="355"/>
      <c r="V74" s="354"/>
      <c r="W74" s="355"/>
    </row>
    <row r="75" spans="1:23" s="9" customFormat="1" ht="36" customHeight="1">
      <c r="A75" s="352"/>
      <c r="B75" s="353"/>
      <c r="C75" s="354"/>
      <c r="D75" s="354"/>
      <c r="E75" s="354"/>
      <c r="F75" s="354"/>
      <c r="G75" s="354"/>
      <c r="H75" s="354"/>
      <c r="I75" s="354"/>
      <c r="J75" s="354"/>
      <c r="K75" s="354"/>
      <c r="L75" s="354"/>
      <c r="M75" s="354"/>
      <c r="N75" s="354"/>
      <c r="O75" s="354"/>
      <c r="P75" s="354"/>
      <c r="Q75" s="465"/>
      <c r="R75" s="465"/>
      <c r="S75" s="465"/>
      <c r="T75" s="354"/>
      <c r="U75" s="355"/>
      <c r="V75" s="354"/>
      <c r="W75" s="355"/>
    </row>
    <row r="76" spans="1:23" s="9" customFormat="1" ht="36" customHeight="1">
      <c r="A76" s="352"/>
      <c r="B76" s="353"/>
      <c r="C76" s="354"/>
      <c r="D76" s="354"/>
      <c r="E76" s="354"/>
      <c r="F76" s="354"/>
      <c r="G76" s="354"/>
      <c r="H76" s="354"/>
      <c r="I76" s="354"/>
      <c r="J76" s="354"/>
      <c r="K76" s="354"/>
      <c r="L76" s="354"/>
      <c r="M76" s="354"/>
      <c r="N76" s="354"/>
      <c r="O76" s="354"/>
      <c r="P76" s="354"/>
      <c r="Q76" s="465"/>
      <c r="R76" s="465"/>
      <c r="S76" s="465"/>
      <c r="T76" s="354"/>
      <c r="U76" s="355"/>
      <c r="V76" s="354"/>
      <c r="W76" s="355"/>
    </row>
    <row r="77" spans="1:23" s="9" customFormat="1" ht="36" customHeight="1">
      <c r="A77" s="352"/>
      <c r="B77" s="353"/>
      <c r="C77" s="354"/>
      <c r="D77" s="354"/>
      <c r="E77" s="354"/>
      <c r="F77" s="354"/>
      <c r="G77" s="354"/>
      <c r="H77" s="354"/>
      <c r="I77" s="354"/>
      <c r="J77" s="354"/>
      <c r="K77" s="354"/>
      <c r="L77" s="354"/>
      <c r="M77" s="354"/>
      <c r="N77" s="354"/>
      <c r="O77" s="354"/>
      <c r="P77" s="354"/>
      <c r="Q77" s="465"/>
      <c r="R77" s="465"/>
      <c r="S77" s="465"/>
      <c r="T77" s="354"/>
      <c r="U77" s="355"/>
      <c r="V77" s="354"/>
      <c r="W77" s="355"/>
    </row>
    <row r="78" spans="1:23" s="9" customFormat="1" ht="36" customHeight="1">
      <c r="A78" s="352"/>
      <c r="B78" s="353"/>
      <c r="C78" s="354"/>
      <c r="D78" s="354"/>
      <c r="E78" s="354"/>
      <c r="F78" s="354"/>
      <c r="G78" s="354"/>
      <c r="H78" s="354"/>
      <c r="I78" s="354"/>
      <c r="J78" s="354"/>
      <c r="K78" s="354"/>
      <c r="L78" s="354"/>
      <c r="M78" s="354"/>
      <c r="N78" s="354"/>
      <c r="O78" s="354"/>
      <c r="P78" s="354"/>
      <c r="Q78" s="465"/>
      <c r="R78" s="465"/>
      <c r="S78" s="465"/>
      <c r="T78" s="354"/>
      <c r="U78" s="355"/>
      <c r="V78" s="354"/>
      <c r="W78" s="355"/>
    </row>
    <row r="79" spans="1:23" s="9" customFormat="1" ht="36" customHeight="1">
      <c r="A79" s="352"/>
      <c r="B79" s="353"/>
      <c r="C79" s="354"/>
      <c r="D79" s="354"/>
      <c r="E79" s="354"/>
      <c r="F79" s="354"/>
      <c r="G79" s="354"/>
      <c r="H79" s="354"/>
      <c r="I79" s="354"/>
      <c r="J79" s="354"/>
      <c r="K79" s="354"/>
      <c r="L79" s="354"/>
      <c r="M79" s="354"/>
      <c r="N79" s="354"/>
      <c r="O79" s="354"/>
      <c r="P79" s="354"/>
      <c r="Q79" s="465"/>
      <c r="R79" s="465"/>
      <c r="S79" s="465"/>
      <c r="T79" s="354"/>
      <c r="U79" s="355"/>
      <c r="V79" s="354"/>
      <c r="W79" s="355"/>
    </row>
    <row r="80" spans="1:23" s="9" customFormat="1" ht="36" customHeight="1">
      <c r="A80" s="352"/>
      <c r="B80" s="353"/>
      <c r="C80" s="354"/>
      <c r="D80" s="354"/>
      <c r="E80" s="354"/>
      <c r="F80" s="354"/>
      <c r="G80" s="354"/>
      <c r="H80" s="354"/>
      <c r="I80" s="354"/>
      <c r="J80" s="354"/>
      <c r="K80" s="354"/>
      <c r="L80" s="354"/>
      <c r="M80" s="354"/>
      <c r="N80" s="354"/>
      <c r="O80" s="354"/>
      <c r="P80" s="354"/>
      <c r="Q80" s="465"/>
      <c r="R80" s="465"/>
      <c r="S80" s="465"/>
      <c r="T80" s="354"/>
      <c r="U80" s="355"/>
      <c r="V80" s="354"/>
      <c r="W80" s="355"/>
    </row>
    <row r="81" spans="1:23" s="9" customFormat="1" ht="36" customHeight="1">
      <c r="A81" s="352"/>
      <c r="B81" s="353"/>
      <c r="C81" s="354"/>
      <c r="D81" s="354"/>
      <c r="E81" s="354"/>
      <c r="F81" s="354"/>
      <c r="G81" s="354"/>
      <c r="H81" s="354"/>
      <c r="I81" s="354"/>
      <c r="J81" s="354"/>
      <c r="K81" s="354"/>
      <c r="L81" s="354"/>
      <c r="M81" s="354"/>
      <c r="N81" s="354"/>
      <c r="O81" s="354"/>
      <c r="P81" s="354"/>
      <c r="Q81" s="465"/>
      <c r="R81" s="465"/>
      <c r="S81" s="465"/>
      <c r="T81" s="354"/>
      <c r="U81" s="355"/>
      <c r="V81" s="354"/>
      <c r="W81" s="355"/>
    </row>
    <row r="82" spans="1:23" s="9" customFormat="1" ht="36" customHeight="1">
      <c r="A82" s="352"/>
      <c r="B82" s="353"/>
      <c r="C82" s="354"/>
      <c r="D82" s="354"/>
      <c r="E82" s="354"/>
      <c r="F82" s="354"/>
      <c r="G82" s="354"/>
      <c r="H82" s="354"/>
      <c r="I82" s="354"/>
      <c r="J82" s="354"/>
      <c r="K82" s="354"/>
      <c r="L82" s="354"/>
      <c r="M82" s="354"/>
      <c r="N82" s="354"/>
      <c r="O82" s="354"/>
      <c r="P82" s="354"/>
      <c r="Q82" s="465"/>
      <c r="R82" s="465"/>
      <c r="S82" s="465"/>
      <c r="T82" s="354"/>
      <c r="U82" s="355"/>
      <c r="V82" s="354"/>
      <c r="W82" s="355"/>
    </row>
    <row r="83" spans="1:23" s="9" customFormat="1" ht="36" customHeight="1">
      <c r="A83" s="352"/>
      <c r="B83" s="353"/>
      <c r="C83" s="354"/>
      <c r="D83" s="354"/>
      <c r="E83" s="354"/>
      <c r="F83" s="354"/>
      <c r="G83" s="354"/>
      <c r="H83" s="354"/>
      <c r="I83" s="354"/>
      <c r="J83" s="354"/>
      <c r="K83" s="354"/>
      <c r="L83" s="354"/>
      <c r="M83" s="354"/>
      <c r="N83" s="354"/>
      <c r="O83" s="354"/>
      <c r="P83" s="354"/>
      <c r="Q83" s="465"/>
      <c r="R83" s="465"/>
      <c r="S83" s="465"/>
      <c r="T83" s="354"/>
      <c r="U83" s="355"/>
      <c r="V83" s="354"/>
      <c r="W83" s="355"/>
    </row>
    <row r="84" spans="1:23" s="9" customFormat="1" ht="36" customHeight="1">
      <c r="A84" s="352"/>
      <c r="B84" s="353"/>
      <c r="C84" s="354"/>
      <c r="D84" s="354"/>
      <c r="E84" s="354"/>
      <c r="F84" s="354"/>
      <c r="G84" s="354"/>
      <c r="H84" s="354"/>
      <c r="I84" s="354"/>
      <c r="J84" s="354"/>
      <c r="K84" s="354"/>
      <c r="L84" s="354"/>
      <c r="M84" s="354"/>
      <c r="N84" s="354"/>
      <c r="O84" s="354"/>
      <c r="P84" s="354"/>
      <c r="Q84" s="465"/>
      <c r="R84" s="465"/>
      <c r="S84" s="465"/>
      <c r="T84" s="354"/>
      <c r="U84" s="355"/>
      <c r="V84" s="354"/>
      <c r="W84" s="355"/>
    </row>
    <row r="85" spans="1:23" s="9" customFormat="1" ht="36" customHeight="1">
      <c r="A85" s="352"/>
      <c r="B85" s="353"/>
      <c r="C85" s="354"/>
      <c r="D85" s="354"/>
      <c r="E85" s="354"/>
      <c r="F85" s="354"/>
      <c r="G85" s="354"/>
      <c r="H85" s="354"/>
      <c r="I85" s="354"/>
      <c r="J85" s="354"/>
      <c r="K85" s="354"/>
      <c r="L85" s="354"/>
      <c r="M85" s="354"/>
      <c r="N85" s="354"/>
      <c r="O85" s="354"/>
      <c r="P85" s="354"/>
      <c r="Q85" s="465"/>
      <c r="R85" s="465"/>
      <c r="S85" s="465"/>
      <c r="T85" s="354"/>
      <c r="U85" s="355"/>
      <c r="V85" s="354"/>
      <c r="W85" s="355"/>
    </row>
    <row r="86" spans="1:23" s="9" customFormat="1" ht="36" customHeight="1">
      <c r="A86" s="352"/>
      <c r="B86" s="353"/>
      <c r="C86" s="354"/>
      <c r="D86" s="354"/>
      <c r="E86" s="354"/>
      <c r="F86" s="354"/>
      <c r="G86" s="354"/>
      <c r="H86" s="354"/>
      <c r="I86" s="354"/>
      <c r="J86" s="354"/>
      <c r="K86" s="354"/>
      <c r="L86" s="354"/>
      <c r="M86" s="354"/>
      <c r="N86" s="354"/>
      <c r="O86" s="354"/>
      <c r="P86" s="354"/>
      <c r="Q86" s="465"/>
      <c r="R86" s="465"/>
      <c r="S86" s="465"/>
      <c r="T86" s="354"/>
      <c r="U86" s="355"/>
      <c r="V86" s="354"/>
      <c r="W86" s="355"/>
    </row>
    <row r="87" spans="1:23" s="9" customFormat="1" ht="36" customHeight="1">
      <c r="A87" s="352"/>
      <c r="B87" s="353"/>
      <c r="C87" s="354"/>
      <c r="D87" s="354"/>
      <c r="E87" s="354"/>
      <c r="F87" s="354"/>
      <c r="G87" s="354"/>
      <c r="H87" s="354"/>
      <c r="I87" s="354"/>
      <c r="J87" s="354"/>
      <c r="K87" s="354"/>
      <c r="L87" s="354"/>
      <c r="M87" s="354"/>
      <c r="N87" s="354"/>
      <c r="O87" s="354"/>
      <c r="P87" s="354"/>
      <c r="Q87" s="465"/>
      <c r="R87" s="465"/>
      <c r="S87" s="465"/>
      <c r="T87" s="354"/>
      <c r="U87" s="355"/>
      <c r="V87" s="354"/>
      <c r="W87" s="355"/>
    </row>
    <row r="88" spans="1:2" ht="25.5" customHeight="1">
      <c r="A88" s="18"/>
      <c r="B88" s="18"/>
    </row>
    <row r="89" spans="1:2" ht="16.5" customHeight="1">
      <c r="A89" s="18"/>
      <c r="B89" s="18"/>
    </row>
    <row r="90" spans="1:2" ht="16.5" customHeight="1">
      <c r="A90" s="18"/>
      <c r="B90" s="22"/>
    </row>
    <row r="91" ht="15.75" hidden="1">
      <c r="B91" s="18"/>
    </row>
    <row r="97" spans="1:2" ht="25.5" customHeight="1">
      <c r="A97" s="18"/>
      <c r="B97" s="18"/>
    </row>
    <row r="98" spans="1:18" ht="15.75">
      <c r="A98" s="18"/>
      <c r="B98" s="18"/>
      <c r="Q98" s="3"/>
      <c r="R98" s="3"/>
    </row>
    <row r="101" spans="17:18" ht="22.5" customHeight="1">
      <c r="Q101" s="3"/>
      <c r="R101" s="3"/>
    </row>
  </sheetData>
  <sheetProtection/>
  <mergeCells count="39">
    <mergeCell ref="A8:X8"/>
    <mergeCell ref="A1:E1"/>
    <mergeCell ref="A2:E2"/>
    <mergeCell ref="A3:E3"/>
    <mergeCell ref="K1:X1"/>
    <mergeCell ref="K2:X2"/>
    <mergeCell ref="K3:X3"/>
    <mergeCell ref="A5:X5"/>
    <mergeCell ref="B10:B14"/>
    <mergeCell ref="A10:A14"/>
    <mergeCell ref="E11:E14"/>
    <mergeCell ref="C10:H10"/>
    <mergeCell ref="C11:C14"/>
    <mergeCell ref="P12:P14"/>
    <mergeCell ref="L11:L14"/>
    <mergeCell ref="X11:X14"/>
    <mergeCell ref="F11:F14"/>
    <mergeCell ref="U10:X10"/>
    <mergeCell ref="Q11:Q14"/>
    <mergeCell ref="R11:R14"/>
    <mergeCell ref="K11:K14"/>
    <mergeCell ref="I11:I14"/>
    <mergeCell ref="G11:G14"/>
    <mergeCell ref="H11:H14"/>
    <mergeCell ref="D11:D14"/>
    <mergeCell ref="A6:X6"/>
    <mergeCell ref="T11:T14"/>
    <mergeCell ref="I10:T10"/>
    <mergeCell ref="N11:P11"/>
    <mergeCell ref="S11:S14"/>
    <mergeCell ref="M11:M14"/>
    <mergeCell ref="W11:W14"/>
    <mergeCell ref="N12:N14"/>
    <mergeCell ref="U11:U14"/>
    <mergeCell ref="V11:V14"/>
    <mergeCell ref="U9:X9"/>
    <mergeCell ref="A7:W7"/>
    <mergeCell ref="J11:J14"/>
    <mergeCell ref="O12:O14"/>
  </mergeCells>
  <printOptions horizontalCentered="1"/>
  <pageMargins left="0.1968503937007874" right="0" top="0.5905511811023623" bottom="0.3937007874015748" header="0.35433070866141736" footer="0.15748031496062992"/>
  <pageSetup fitToHeight="5" horizontalDpi="600" verticalDpi="600" orientation="landscape" paperSize="9" scale="65" r:id="rId1"/>
  <headerFooter alignWithMargins="0">
    <oddFooter>&amp;C&amp;".VnTime,Italic"&amp;8
&amp;P</oddFooter>
  </headerFooter>
</worksheet>
</file>

<file path=xl/worksheets/sheet8.xml><?xml version="1.0" encoding="utf-8"?>
<worksheet xmlns="http://schemas.openxmlformats.org/spreadsheetml/2006/main" xmlns:r="http://schemas.openxmlformats.org/officeDocument/2006/relationships">
  <sheetPr>
    <tabColor rgb="FF00B0F0"/>
  </sheetPr>
  <dimension ref="A1:Z38"/>
  <sheetViews>
    <sheetView zoomScale="70" zoomScaleNormal="70" workbookViewId="0" topLeftCell="A22">
      <selection activeCell="I12" sqref="I12:I15"/>
    </sheetView>
  </sheetViews>
  <sheetFormatPr defaultColWidth="8.796875" defaultRowHeight="15"/>
  <cols>
    <col min="1" max="1" width="5.09765625" style="3" customWidth="1"/>
    <col min="2" max="2" width="29.3984375" style="3" customWidth="1"/>
    <col min="3" max="3" width="9.8984375" style="3" customWidth="1"/>
    <col min="4" max="6" width="8.59765625" style="3" customWidth="1"/>
    <col min="7" max="7" width="9.69921875" style="3" customWidth="1"/>
    <col min="8" max="8" width="10.59765625" style="3" customWidth="1"/>
    <col min="9" max="20" width="8.59765625" style="3" customWidth="1"/>
    <col min="21" max="21" width="31.19921875" style="478" bestFit="1" customWidth="1"/>
    <col min="22" max="22" width="9.19921875" style="3" customWidth="1"/>
    <col min="23" max="16384" width="9" style="3" customWidth="1"/>
  </cols>
  <sheetData>
    <row r="1" spans="1:24" ht="16.5">
      <c r="A1" s="832" t="s">
        <v>794</v>
      </c>
      <c r="B1" s="832"/>
      <c r="C1" s="832"/>
      <c r="D1" s="832"/>
      <c r="E1" s="835"/>
      <c r="I1" s="126"/>
      <c r="J1" s="832" t="s">
        <v>809</v>
      </c>
      <c r="K1" s="832"/>
      <c r="L1" s="832"/>
      <c r="M1" s="832"/>
      <c r="N1" s="832"/>
      <c r="O1" s="832"/>
      <c r="P1" s="832"/>
      <c r="Q1" s="832"/>
      <c r="R1" s="832"/>
      <c r="S1" s="832"/>
      <c r="T1" s="832"/>
      <c r="U1" s="835"/>
      <c r="V1" s="835"/>
      <c r="W1" s="835"/>
      <c r="X1" s="835"/>
    </row>
    <row r="2" spans="1:24" ht="16.5">
      <c r="A2" s="833" t="s">
        <v>260</v>
      </c>
      <c r="B2" s="833"/>
      <c r="C2" s="833"/>
      <c r="D2" s="833"/>
      <c r="E2" s="850"/>
      <c r="I2" s="126"/>
      <c r="J2" s="834" t="s">
        <v>810</v>
      </c>
      <c r="K2" s="834"/>
      <c r="L2" s="834"/>
      <c r="M2" s="834"/>
      <c r="N2" s="834"/>
      <c r="O2" s="834"/>
      <c r="P2" s="834"/>
      <c r="Q2" s="834"/>
      <c r="R2" s="834"/>
      <c r="S2" s="834"/>
      <c r="T2" s="834"/>
      <c r="U2" s="836"/>
      <c r="V2" s="836"/>
      <c r="W2" s="836"/>
      <c r="X2" s="836"/>
    </row>
    <row r="3" spans="1:24" ht="15.75">
      <c r="A3" s="810" t="s">
        <v>811</v>
      </c>
      <c r="B3" s="810"/>
      <c r="C3" s="810"/>
      <c r="D3" s="810"/>
      <c r="E3" s="851"/>
      <c r="I3" s="126"/>
      <c r="J3" s="821" t="s">
        <v>802</v>
      </c>
      <c r="K3" s="821"/>
      <c r="L3" s="821"/>
      <c r="M3" s="821"/>
      <c r="N3" s="821"/>
      <c r="O3" s="821"/>
      <c r="P3" s="821"/>
      <c r="Q3" s="821"/>
      <c r="R3" s="821"/>
      <c r="S3" s="821"/>
      <c r="T3" s="821"/>
      <c r="U3" s="831"/>
      <c r="V3" s="831"/>
      <c r="W3" s="831"/>
      <c r="X3" s="831"/>
    </row>
    <row r="4" spans="1:24" ht="20.25">
      <c r="A4" s="818"/>
      <c r="B4" s="692"/>
      <c r="C4" s="823"/>
      <c r="D4" s="824"/>
      <c r="E4" s="824"/>
      <c r="F4" s="824"/>
      <c r="G4" s="824"/>
      <c r="H4" s="824"/>
      <c r="I4" s="126"/>
      <c r="J4" s="126"/>
      <c r="K4" s="126"/>
      <c r="L4" s="693"/>
      <c r="M4" s="693"/>
      <c r="N4" s="693"/>
      <c r="O4" s="693"/>
      <c r="P4" s="693"/>
      <c r="Q4" s="693"/>
      <c r="R4" s="693"/>
      <c r="S4" s="693"/>
      <c r="T4" s="693"/>
      <c r="U4" s="693"/>
      <c r="V4" s="693"/>
      <c r="W4" s="693"/>
      <c r="X4" s="693"/>
    </row>
    <row r="5" spans="1:26" ht="20.25">
      <c r="A5" s="825" t="s">
        <v>827</v>
      </c>
      <c r="B5" s="825"/>
      <c r="C5" s="825"/>
      <c r="D5" s="825"/>
      <c r="E5" s="825"/>
      <c r="F5" s="825"/>
      <c r="G5" s="825"/>
      <c r="H5" s="825"/>
      <c r="I5" s="825"/>
      <c r="J5" s="825"/>
      <c r="K5" s="825"/>
      <c r="L5" s="825"/>
      <c r="M5" s="825"/>
      <c r="N5" s="825"/>
      <c r="O5" s="825"/>
      <c r="P5" s="825"/>
      <c r="Q5" s="825"/>
      <c r="R5" s="825"/>
      <c r="S5" s="825"/>
      <c r="T5" s="825"/>
      <c r="U5" s="845"/>
      <c r="V5" s="845"/>
      <c r="W5" s="845"/>
      <c r="X5" s="845"/>
      <c r="Y5" s="476"/>
      <c r="Z5" s="476"/>
    </row>
    <row r="6" spans="1:20" ht="21" customHeight="1">
      <c r="A6" s="728" t="s">
        <v>479</v>
      </c>
      <c r="B6" s="728"/>
      <c r="C6" s="728"/>
      <c r="D6" s="728"/>
      <c r="E6" s="728"/>
      <c r="F6" s="728"/>
      <c r="G6" s="728"/>
      <c r="H6" s="728"/>
      <c r="I6" s="728"/>
      <c r="J6" s="728"/>
      <c r="K6" s="728"/>
      <c r="L6" s="728"/>
      <c r="M6" s="728"/>
      <c r="N6" s="728"/>
      <c r="O6" s="728"/>
      <c r="P6" s="728"/>
      <c r="Q6" s="728"/>
      <c r="R6" s="728"/>
      <c r="S6" s="728"/>
      <c r="T6" s="728"/>
    </row>
    <row r="7" spans="1:20" ht="21" customHeight="1">
      <c r="A7" s="727" t="s">
        <v>478</v>
      </c>
      <c r="B7" s="727"/>
      <c r="C7" s="727"/>
      <c r="D7" s="727"/>
      <c r="E7" s="727"/>
      <c r="F7" s="727"/>
      <c r="G7" s="727"/>
      <c r="H7" s="727"/>
      <c r="I7" s="727"/>
      <c r="J7" s="727"/>
      <c r="K7" s="727"/>
      <c r="L7" s="727"/>
      <c r="M7" s="727"/>
      <c r="N7" s="727"/>
      <c r="O7" s="727"/>
      <c r="P7" s="727"/>
      <c r="Q7" s="727"/>
      <c r="R7" s="727"/>
      <c r="S7" s="727"/>
      <c r="T7" s="727"/>
    </row>
    <row r="8" spans="1:21" s="125" customFormat="1" ht="18.75" customHeight="1">
      <c r="A8" s="847" t="s">
        <v>800</v>
      </c>
      <c r="B8" s="847"/>
      <c r="C8" s="847"/>
      <c r="D8" s="847"/>
      <c r="E8" s="847"/>
      <c r="F8" s="847"/>
      <c r="G8" s="847"/>
      <c r="H8" s="847"/>
      <c r="I8" s="847"/>
      <c r="J8" s="847"/>
      <c r="K8" s="847"/>
      <c r="L8" s="847"/>
      <c r="M8" s="847"/>
      <c r="N8" s="847"/>
      <c r="O8" s="847"/>
      <c r="P8" s="847"/>
      <c r="Q8" s="847"/>
      <c r="R8" s="847"/>
      <c r="S8" s="847"/>
      <c r="T8" s="847"/>
      <c r="U8" s="479"/>
    </row>
    <row r="9" spans="1:20" ht="18.75">
      <c r="A9" s="853" t="s">
        <v>826</v>
      </c>
      <c r="B9" s="853"/>
      <c r="C9" s="853"/>
      <c r="D9" s="853"/>
      <c r="E9" s="853"/>
      <c r="F9" s="853"/>
      <c r="G9" s="853"/>
      <c r="H9" s="853"/>
      <c r="I9" s="853"/>
      <c r="J9" s="853"/>
      <c r="K9" s="853"/>
      <c r="L9" s="853"/>
      <c r="M9" s="853"/>
      <c r="N9" s="853"/>
      <c r="O9" s="853"/>
      <c r="P9" s="853"/>
      <c r="Q9" s="853"/>
      <c r="R9" s="853"/>
      <c r="S9" s="853"/>
      <c r="T9" s="853"/>
    </row>
    <row r="10" spans="1:20" ht="18.75">
      <c r="A10" s="852"/>
      <c r="B10" s="852"/>
      <c r="C10" s="852"/>
      <c r="D10" s="852"/>
      <c r="E10" s="852"/>
      <c r="F10" s="852"/>
      <c r="G10" s="852"/>
      <c r="H10" s="852"/>
      <c r="I10" s="852"/>
      <c r="J10" s="852"/>
      <c r="K10" s="852"/>
      <c r="L10" s="852"/>
      <c r="M10" s="852"/>
      <c r="N10" s="852"/>
      <c r="O10" s="852"/>
      <c r="P10" s="852"/>
      <c r="Q10" s="852"/>
      <c r="R10" s="852"/>
      <c r="S10" s="852"/>
      <c r="T10" s="852"/>
    </row>
    <row r="11" spans="1:20" ht="24" customHeight="1">
      <c r="A11" s="500"/>
      <c r="B11" s="500"/>
      <c r="C11" s="501"/>
      <c r="D11" s="501"/>
      <c r="E11" s="501"/>
      <c r="F11" s="501"/>
      <c r="G11" s="501"/>
      <c r="H11" s="502"/>
      <c r="I11" s="502"/>
      <c r="J11" s="502"/>
      <c r="K11" s="502"/>
      <c r="L11" s="502"/>
      <c r="M11" s="502"/>
      <c r="N11" s="502"/>
      <c r="O11" s="502"/>
      <c r="P11" s="502"/>
      <c r="Q11" s="502"/>
      <c r="R11" s="503"/>
      <c r="S11" s="503"/>
      <c r="T11" s="504" t="s">
        <v>0</v>
      </c>
    </row>
    <row r="12" spans="1:20" ht="24" customHeight="1">
      <c r="A12" s="708" t="s">
        <v>62</v>
      </c>
      <c r="B12" s="729" t="s">
        <v>69</v>
      </c>
      <c r="C12" s="708" t="s">
        <v>81</v>
      </c>
      <c r="D12" s="708" t="s">
        <v>3</v>
      </c>
      <c r="E12" s="708" t="s">
        <v>19</v>
      </c>
      <c r="F12" s="708" t="s">
        <v>20</v>
      </c>
      <c r="G12" s="708" t="s">
        <v>82</v>
      </c>
      <c r="H12" s="708" t="s">
        <v>83</v>
      </c>
      <c r="I12" s="708" t="s">
        <v>84</v>
      </c>
      <c r="J12" s="708" t="s">
        <v>85</v>
      </c>
      <c r="K12" s="708" t="s">
        <v>86</v>
      </c>
      <c r="L12" s="708" t="s">
        <v>87</v>
      </c>
      <c r="M12" s="708" t="s">
        <v>88</v>
      </c>
      <c r="N12" s="708" t="s">
        <v>89</v>
      </c>
      <c r="O12" s="708" t="s">
        <v>90</v>
      </c>
      <c r="P12" s="708"/>
      <c r="Q12" s="708" t="s">
        <v>91</v>
      </c>
      <c r="R12" s="708" t="s">
        <v>92</v>
      </c>
      <c r="S12" s="708" t="s">
        <v>93</v>
      </c>
      <c r="T12" s="708" t="s">
        <v>4</v>
      </c>
    </row>
    <row r="13" spans="1:20" ht="29.25" customHeight="1">
      <c r="A13" s="710"/>
      <c r="B13" s="730"/>
      <c r="C13" s="708"/>
      <c r="D13" s="708"/>
      <c r="E13" s="708"/>
      <c r="F13" s="708"/>
      <c r="G13" s="708"/>
      <c r="H13" s="708"/>
      <c r="I13" s="708"/>
      <c r="J13" s="708"/>
      <c r="K13" s="708"/>
      <c r="L13" s="708"/>
      <c r="M13" s="708"/>
      <c r="N13" s="708"/>
      <c r="O13" s="708" t="s">
        <v>94</v>
      </c>
      <c r="P13" s="708" t="s">
        <v>192</v>
      </c>
      <c r="Q13" s="708"/>
      <c r="R13" s="708"/>
      <c r="S13" s="708"/>
      <c r="T13" s="708"/>
    </row>
    <row r="14" spans="1:21" ht="28.5" customHeight="1">
      <c r="A14" s="710"/>
      <c r="B14" s="730"/>
      <c r="C14" s="708"/>
      <c r="D14" s="708"/>
      <c r="E14" s="708"/>
      <c r="F14" s="708"/>
      <c r="G14" s="708"/>
      <c r="H14" s="708"/>
      <c r="I14" s="708"/>
      <c r="J14" s="708"/>
      <c r="K14" s="708"/>
      <c r="L14" s="708"/>
      <c r="M14" s="708"/>
      <c r="N14" s="708"/>
      <c r="O14" s="708"/>
      <c r="P14" s="708"/>
      <c r="Q14" s="708"/>
      <c r="R14" s="708"/>
      <c r="S14" s="708"/>
      <c r="T14" s="708"/>
      <c r="U14" s="732" t="s">
        <v>612</v>
      </c>
    </row>
    <row r="15" spans="1:21" ht="105" customHeight="1">
      <c r="A15" s="710"/>
      <c r="B15" s="731"/>
      <c r="C15" s="708"/>
      <c r="D15" s="708"/>
      <c r="E15" s="708"/>
      <c r="F15" s="708"/>
      <c r="G15" s="708"/>
      <c r="H15" s="708"/>
      <c r="I15" s="708"/>
      <c r="J15" s="708"/>
      <c r="K15" s="708"/>
      <c r="L15" s="708"/>
      <c r="M15" s="708"/>
      <c r="N15" s="708"/>
      <c r="O15" s="708"/>
      <c r="P15" s="708"/>
      <c r="Q15" s="708"/>
      <c r="R15" s="708"/>
      <c r="S15" s="708"/>
      <c r="T15" s="708"/>
      <c r="U15" s="732"/>
    </row>
    <row r="16" spans="1:21" s="9" customFormat="1" ht="23.25" customHeight="1">
      <c r="A16" s="8" t="s">
        <v>5</v>
      </c>
      <c r="B16" s="7" t="s">
        <v>6</v>
      </c>
      <c r="C16" s="8">
        <v>1</v>
      </c>
      <c r="D16" s="42">
        <f>C16+1</f>
        <v>2</v>
      </c>
      <c r="E16" s="42">
        <f aca="true" t="shared" si="0" ref="E16:S16">D16+1</f>
        <v>3</v>
      </c>
      <c r="F16" s="42">
        <f t="shared" si="0"/>
        <v>4</v>
      </c>
      <c r="G16" s="42">
        <f t="shared" si="0"/>
        <v>5</v>
      </c>
      <c r="H16" s="42">
        <f t="shared" si="0"/>
        <v>6</v>
      </c>
      <c r="I16" s="42">
        <f t="shared" si="0"/>
        <v>7</v>
      </c>
      <c r="J16" s="42">
        <f t="shared" si="0"/>
        <v>8</v>
      </c>
      <c r="K16" s="42">
        <f t="shared" si="0"/>
        <v>9</v>
      </c>
      <c r="L16" s="42">
        <f t="shared" si="0"/>
        <v>10</v>
      </c>
      <c r="M16" s="42">
        <f t="shared" si="0"/>
        <v>11</v>
      </c>
      <c r="N16" s="42">
        <f t="shared" si="0"/>
        <v>12</v>
      </c>
      <c r="O16" s="42">
        <f t="shared" si="0"/>
        <v>13</v>
      </c>
      <c r="P16" s="42">
        <f t="shared" si="0"/>
        <v>14</v>
      </c>
      <c r="Q16" s="42">
        <f t="shared" si="0"/>
        <v>15</v>
      </c>
      <c r="R16" s="42">
        <f t="shared" si="0"/>
        <v>16</v>
      </c>
      <c r="S16" s="42">
        <f t="shared" si="0"/>
        <v>17</v>
      </c>
      <c r="T16" s="8" t="s">
        <v>95</v>
      </c>
      <c r="U16" s="480"/>
    </row>
    <row r="17" spans="1:21" s="9" customFormat="1" ht="23.25" customHeight="1">
      <c r="A17" s="8"/>
      <c r="B17" s="8" t="s">
        <v>70</v>
      </c>
      <c r="C17" s="133">
        <f aca="true" t="shared" si="1" ref="C17:S17">SUM(C18:C26)</f>
        <v>123800</v>
      </c>
      <c r="D17" s="133">
        <f t="shared" si="1"/>
        <v>122248.15</v>
      </c>
      <c r="E17" s="133">
        <f t="shared" si="1"/>
        <v>9910.065</v>
      </c>
      <c r="F17" s="133">
        <f t="shared" si="1"/>
        <v>0</v>
      </c>
      <c r="G17" s="133">
        <f t="shared" si="1"/>
        <v>1481.579</v>
      </c>
      <c r="H17" s="133">
        <f t="shared" si="1"/>
        <v>1257.746</v>
      </c>
      <c r="I17" s="133">
        <f t="shared" si="1"/>
        <v>0</v>
      </c>
      <c r="J17" s="133">
        <f t="shared" si="1"/>
        <v>0</v>
      </c>
      <c r="K17" s="133">
        <f t="shared" si="1"/>
        <v>0</v>
      </c>
      <c r="L17" s="133">
        <f t="shared" si="1"/>
        <v>0</v>
      </c>
      <c r="M17" s="133">
        <f t="shared" si="1"/>
        <v>843.971</v>
      </c>
      <c r="N17" s="133">
        <f t="shared" si="1"/>
        <v>95383.823</v>
      </c>
      <c r="O17" s="133">
        <f t="shared" si="1"/>
        <v>94895.378</v>
      </c>
      <c r="P17" s="133">
        <f t="shared" si="1"/>
        <v>488.445</v>
      </c>
      <c r="Q17" s="133">
        <f t="shared" si="1"/>
        <v>1919.0349999999999</v>
      </c>
      <c r="R17" s="133">
        <f t="shared" si="1"/>
        <v>11451.931</v>
      </c>
      <c r="S17" s="133">
        <f t="shared" si="1"/>
        <v>0</v>
      </c>
      <c r="T17" s="142">
        <f>D17/C17*100</f>
        <v>98.74648626817446</v>
      </c>
      <c r="U17" s="481"/>
    </row>
    <row r="18" spans="1:21" s="455" customFormat="1" ht="21" customHeight="1">
      <c r="A18" s="118">
        <v>1</v>
      </c>
      <c r="B18" s="123" t="s">
        <v>240</v>
      </c>
      <c r="C18" s="137">
        <v>4534</v>
      </c>
      <c r="D18" s="131">
        <f aca="true" t="shared" si="2" ref="D18:D25">SUM(E18:N18,Q18:S18)</f>
        <v>11451.931</v>
      </c>
      <c r="E18" s="131"/>
      <c r="F18" s="131"/>
      <c r="G18" s="131"/>
      <c r="H18" s="131"/>
      <c r="I18" s="131"/>
      <c r="J18" s="131"/>
      <c r="K18" s="131"/>
      <c r="L18" s="131"/>
      <c r="M18" s="131"/>
      <c r="N18" s="131">
        <f aca="true" t="shared" si="3" ref="N18:N25">SUM(O18:P18)</f>
        <v>0</v>
      </c>
      <c r="O18" s="131"/>
      <c r="P18" s="131"/>
      <c r="Q18" s="131"/>
      <c r="R18" s="131">
        <f>11451931000/1000000</f>
        <v>11451.931</v>
      </c>
      <c r="S18" s="135"/>
      <c r="T18" s="135">
        <f aca="true" t="shared" si="4" ref="T18:T26">D18/C18*100</f>
        <v>252.57898103220117</v>
      </c>
      <c r="U18" s="482"/>
    </row>
    <row r="19" spans="1:21" s="455" customFormat="1" ht="21" customHeight="1">
      <c r="A19" s="118">
        <v>2</v>
      </c>
      <c r="B19" s="123" t="s">
        <v>212</v>
      </c>
      <c r="C19" s="137">
        <v>9400</v>
      </c>
      <c r="D19" s="131">
        <f t="shared" si="2"/>
        <v>7709.507</v>
      </c>
      <c r="E19" s="131"/>
      <c r="F19" s="131"/>
      <c r="G19" s="131"/>
      <c r="H19" s="131"/>
      <c r="I19" s="131"/>
      <c r="J19" s="131"/>
      <c r="K19" s="131"/>
      <c r="L19" s="131"/>
      <c r="M19" s="131"/>
      <c r="N19" s="131">
        <f t="shared" si="3"/>
        <v>7709.507</v>
      </c>
      <c r="O19" s="131">
        <f>7709507000/1000000</f>
        <v>7709.507</v>
      </c>
      <c r="P19" s="131"/>
      <c r="Q19" s="131"/>
      <c r="R19" s="131"/>
      <c r="S19" s="135"/>
      <c r="T19" s="135">
        <f t="shared" si="4"/>
        <v>82.01603191489362</v>
      </c>
      <c r="U19" s="483"/>
    </row>
    <row r="20" spans="1:21" s="457" customFormat="1" ht="21" customHeight="1">
      <c r="A20" s="458">
        <v>3</v>
      </c>
      <c r="B20" s="161" t="s">
        <v>229</v>
      </c>
      <c r="C20" s="393"/>
      <c r="D20" s="373">
        <f t="shared" si="2"/>
        <v>194.577</v>
      </c>
      <c r="E20" s="373"/>
      <c r="F20" s="373"/>
      <c r="G20" s="373"/>
      <c r="H20" s="373"/>
      <c r="I20" s="373"/>
      <c r="J20" s="373"/>
      <c r="K20" s="373"/>
      <c r="L20" s="373"/>
      <c r="M20" s="373"/>
      <c r="N20" s="373">
        <f t="shared" si="3"/>
        <v>194.577</v>
      </c>
      <c r="O20" s="373"/>
      <c r="P20" s="373">
        <f>194577000/1000000</f>
        <v>194.577</v>
      </c>
      <c r="Q20" s="373"/>
      <c r="R20" s="373"/>
      <c r="S20" s="459"/>
      <c r="T20" s="135"/>
      <c r="U20" s="484"/>
    </row>
    <row r="21" spans="1:21" s="455" customFormat="1" ht="39" customHeight="1">
      <c r="A21" s="118">
        <v>4</v>
      </c>
      <c r="B21" s="130" t="s">
        <v>230</v>
      </c>
      <c r="C21" s="137">
        <v>92066</v>
      </c>
      <c r="D21" s="131">
        <f t="shared" si="2"/>
        <v>99205.153</v>
      </c>
      <c r="E21" s="131">
        <f>9910065000/1000000</f>
        <v>9910.065</v>
      </c>
      <c r="F21" s="131"/>
      <c r="G21" s="131"/>
      <c r="H21" s="131">
        <f>1257746000/1000000</f>
        <v>1257.746</v>
      </c>
      <c r="I21" s="131"/>
      <c r="J21" s="131"/>
      <c r="K21" s="131"/>
      <c r="L21" s="131"/>
      <c r="M21" s="131">
        <f>843971000/1000000</f>
        <v>843.971</v>
      </c>
      <c r="N21" s="131">
        <f>SUM(O21:P21)</f>
        <v>86758.221</v>
      </c>
      <c r="O21" s="131">
        <f>86464353000/1000000</f>
        <v>86464.353</v>
      </c>
      <c r="P21" s="131">
        <f>293868000/1000000</f>
        <v>293.868</v>
      </c>
      <c r="Q21" s="131">
        <f>(59445000+282674000+73272000+19759000)/1000000</f>
        <v>435.15</v>
      </c>
      <c r="R21" s="131"/>
      <c r="S21" s="135"/>
      <c r="T21" s="135">
        <f t="shared" si="4"/>
        <v>107.75438598396802</v>
      </c>
      <c r="U21" s="483">
        <f>44342000+9868697000</f>
        <v>9913039000</v>
      </c>
    </row>
    <row r="22" spans="1:21" s="455" customFormat="1" ht="27.75" customHeight="1">
      <c r="A22" s="118">
        <v>5</v>
      </c>
      <c r="B22" s="130" t="s">
        <v>611</v>
      </c>
      <c r="C22" s="137">
        <v>886</v>
      </c>
      <c r="D22" s="131">
        <f t="shared" si="2"/>
        <v>1483.885</v>
      </c>
      <c r="E22" s="131"/>
      <c r="F22" s="131"/>
      <c r="G22" s="131"/>
      <c r="H22" s="131"/>
      <c r="I22" s="131"/>
      <c r="J22" s="131"/>
      <c r="K22" s="131"/>
      <c r="L22" s="131"/>
      <c r="M22" s="131"/>
      <c r="N22" s="131">
        <f>SUM(O22:P22)</f>
        <v>0</v>
      </c>
      <c r="O22" s="131"/>
      <c r="P22" s="131"/>
      <c r="Q22" s="131">
        <f>1483885000/1000000</f>
        <v>1483.885</v>
      </c>
      <c r="R22" s="131"/>
      <c r="S22" s="135"/>
      <c r="T22" s="135">
        <f t="shared" si="4"/>
        <v>167.4813769751693</v>
      </c>
      <c r="U22" s="483">
        <v>885191000</v>
      </c>
    </row>
    <row r="23" spans="1:21" s="455" customFormat="1" ht="27.75" customHeight="1">
      <c r="A23" s="118">
        <v>6</v>
      </c>
      <c r="B23" s="130" t="s">
        <v>609</v>
      </c>
      <c r="C23" s="137">
        <v>1500</v>
      </c>
      <c r="D23" s="131">
        <f t="shared" si="2"/>
        <v>1481.579</v>
      </c>
      <c r="E23" s="131"/>
      <c r="F23" s="131"/>
      <c r="G23" s="131">
        <f>(1481579000)/1000000</f>
        <v>1481.579</v>
      </c>
      <c r="H23" s="131"/>
      <c r="I23" s="131"/>
      <c r="J23" s="131"/>
      <c r="K23" s="131"/>
      <c r="L23" s="131"/>
      <c r="M23" s="131"/>
      <c r="N23" s="131"/>
      <c r="O23" s="131"/>
      <c r="P23" s="131"/>
      <c r="Q23" s="131"/>
      <c r="R23" s="131"/>
      <c r="S23" s="135"/>
      <c r="T23" s="135">
        <f t="shared" si="4"/>
        <v>98.77193333333332</v>
      </c>
      <c r="U23" s="483">
        <v>81421000</v>
      </c>
    </row>
    <row r="24" spans="1:21" s="456" customFormat="1" ht="27.75" customHeight="1">
      <c r="A24" s="118">
        <v>7</v>
      </c>
      <c r="B24" s="161" t="s">
        <v>238</v>
      </c>
      <c r="C24" s="137"/>
      <c r="D24" s="131">
        <f t="shared" si="2"/>
        <v>721.518</v>
      </c>
      <c r="E24" s="133"/>
      <c r="F24" s="133"/>
      <c r="G24" s="133"/>
      <c r="H24" s="133"/>
      <c r="I24" s="133"/>
      <c r="J24" s="133"/>
      <c r="K24" s="133"/>
      <c r="L24" s="133"/>
      <c r="M24" s="133"/>
      <c r="N24" s="131">
        <f>SUM(O24:P24)</f>
        <v>721.518</v>
      </c>
      <c r="O24" s="131">
        <f>721518000/1000000</f>
        <v>721.518</v>
      </c>
      <c r="P24" s="133"/>
      <c r="Q24" s="131">
        <f>0/1000000</f>
        <v>0</v>
      </c>
      <c r="R24" s="133"/>
      <c r="S24" s="142"/>
      <c r="T24" s="135"/>
      <c r="U24" s="481"/>
    </row>
    <row r="25" spans="1:21" s="125" customFormat="1" ht="27.75" customHeight="1">
      <c r="A25" s="118">
        <v>8</v>
      </c>
      <c r="B25" s="123" t="s">
        <v>241</v>
      </c>
      <c r="C25" s="137">
        <v>1800</v>
      </c>
      <c r="D25" s="135">
        <f t="shared" si="2"/>
        <v>0</v>
      </c>
      <c r="E25" s="123"/>
      <c r="F25" s="123"/>
      <c r="G25" s="123"/>
      <c r="H25" s="123"/>
      <c r="I25" s="123"/>
      <c r="J25" s="123"/>
      <c r="K25" s="123"/>
      <c r="L25" s="123"/>
      <c r="M25" s="123"/>
      <c r="N25" s="131">
        <f t="shared" si="3"/>
        <v>0</v>
      </c>
      <c r="O25" s="123"/>
      <c r="P25" s="123"/>
      <c r="Q25" s="123"/>
      <c r="R25" s="123"/>
      <c r="S25" s="135"/>
      <c r="T25" s="135">
        <f t="shared" si="4"/>
        <v>0</v>
      </c>
      <c r="U25" s="485"/>
    </row>
    <row r="26" spans="1:21" s="125" customFormat="1" ht="27.75" customHeight="1">
      <c r="A26" s="118">
        <v>9</v>
      </c>
      <c r="B26" s="123" t="s">
        <v>610</v>
      </c>
      <c r="C26" s="137">
        <v>13614</v>
      </c>
      <c r="D26" s="123"/>
      <c r="E26" s="123"/>
      <c r="F26" s="123"/>
      <c r="G26" s="123"/>
      <c r="H26" s="123"/>
      <c r="I26" s="123"/>
      <c r="J26" s="123"/>
      <c r="K26" s="123"/>
      <c r="L26" s="123"/>
      <c r="M26" s="123"/>
      <c r="N26" s="123"/>
      <c r="O26" s="123"/>
      <c r="P26" s="123"/>
      <c r="Q26" s="123"/>
      <c r="R26" s="123"/>
      <c r="S26" s="123"/>
      <c r="T26" s="135">
        <f t="shared" si="4"/>
        <v>0</v>
      </c>
      <c r="U26" s="481">
        <f>SUM(U21:U25)</f>
        <v>10879651000</v>
      </c>
    </row>
    <row r="27" spans="1:4" ht="15.75">
      <c r="A27" s="18"/>
      <c r="B27" s="18"/>
      <c r="D27" s="150"/>
    </row>
    <row r="28" ht="15.75" hidden="1">
      <c r="B28" s="18"/>
    </row>
    <row r="32" ht="15.75">
      <c r="U32" s="486">
        <f>488.445*1000000</f>
        <v>488445000</v>
      </c>
    </row>
    <row r="33" ht="15.75" hidden="1"/>
    <row r="34" spans="1:2" ht="25.5" customHeight="1" hidden="1">
      <c r="A34" s="18" t="s">
        <v>79</v>
      </c>
      <c r="B34" s="18"/>
    </row>
    <row r="35" spans="1:2" ht="15.75" hidden="1">
      <c r="A35" s="18"/>
      <c r="B35" s="18" t="s">
        <v>80</v>
      </c>
    </row>
    <row r="36" ht="15.75" hidden="1"/>
    <row r="37" ht="15.75" hidden="1"/>
    <row r="38" ht="22.5" customHeight="1" hidden="1">
      <c r="U38" s="486">
        <f>94895.378*1000000</f>
        <v>94895378000</v>
      </c>
    </row>
  </sheetData>
  <sheetProtection/>
  <mergeCells count="33">
    <mergeCell ref="A5:T5"/>
    <mergeCell ref="A9:T9"/>
    <mergeCell ref="A1:D1"/>
    <mergeCell ref="A3:D3"/>
    <mergeCell ref="A2:D2"/>
    <mergeCell ref="J1:T1"/>
    <mergeCell ref="J2:T2"/>
    <mergeCell ref="J3:T3"/>
    <mergeCell ref="U14:U15"/>
    <mergeCell ref="A7:T7"/>
    <mergeCell ref="T12:T15"/>
    <mergeCell ref="O13:O15"/>
    <mergeCell ref="P13:P15"/>
    <mergeCell ref="M12:M15"/>
    <mergeCell ref="N12:N15"/>
    <mergeCell ref="O12:P12"/>
    <mergeCell ref="Q12:Q15"/>
    <mergeCell ref="R12:R15"/>
    <mergeCell ref="S12:S15"/>
    <mergeCell ref="G12:G15"/>
    <mergeCell ref="H12:H15"/>
    <mergeCell ref="I12:I15"/>
    <mergeCell ref="J12:J15"/>
    <mergeCell ref="K12:K15"/>
    <mergeCell ref="L12:L15"/>
    <mergeCell ref="B12:B15"/>
    <mergeCell ref="A12:A15"/>
    <mergeCell ref="C12:C15"/>
    <mergeCell ref="D12:D15"/>
    <mergeCell ref="E12:E15"/>
    <mergeCell ref="F12:F15"/>
    <mergeCell ref="A8:T8"/>
    <mergeCell ref="A6:T6"/>
  </mergeCells>
  <printOptions horizontalCentered="1"/>
  <pageMargins left="0.1968503937007874" right="0.2362204724409449" top="0.5905511811023623" bottom="0.2362204724409449" header="0.35433070866141736" footer="0.15748031496062992"/>
  <pageSetup fitToHeight="0" fitToWidth="0" horizontalDpi="600" verticalDpi="600" orientation="landscape" paperSize="9" scale="69" r:id="rId1"/>
  <headerFooter alignWithMargins="0">
    <oddFooter>&amp;C&amp;".VnTime,Italic"&amp;8
</oddFooter>
  </headerFooter>
</worksheet>
</file>

<file path=xl/worksheets/sheet9.xml><?xml version="1.0" encoding="utf-8"?>
<worksheet xmlns="http://schemas.openxmlformats.org/spreadsheetml/2006/main" xmlns:r="http://schemas.openxmlformats.org/officeDocument/2006/relationships">
  <sheetPr>
    <tabColor rgb="FF00B0F0"/>
    <pageSetUpPr fitToPage="1"/>
  </sheetPr>
  <dimension ref="A1:W58"/>
  <sheetViews>
    <sheetView zoomScale="70" zoomScaleNormal="70" workbookViewId="0" topLeftCell="A19">
      <selection activeCell="D24" sqref="D24"/>
    </sheetView>
  </sheetViews>
  <sheetFormatPr defaultColWidth="8.796875" defaultRowHeight="15"/>
  <cols>
    <col min="1" max="1" width="5.09765625" style="3" customWidth="1"/>
    <col min="2" max="2" width="30.09765625" style="3" customWidth="1"/>
    <col min="3" max="3" width="9.8984375" style="3" customWidth="1"/>
    <col min="4" max="4" width="10.3984375" style="3" customWidth="1"/>
    <col min="5" max="12" width="8.59765625" style="3" customWidth="1"/>
    <col min="13" max="13" width="9.19921875" style="3" customWidth="1"/>
    <col min="14" max="15" width="8.59765625" style="3" customWidth="1"/>
    <col min="16" max="16" width="9.09765625" style="3" customWidth="1"/>
    <col min="17" max="17" width="9" style="3" customWidth="1"/>
    <col min="18" max="19" width="8.59765625" style="3" customWidth="1"/>
    <col min="20" max="20" width="8.09765625" style="3" customWidth="1"/>
    <col min="21" max="21" width="9.19921875" style="3" customWidth="1"/>
    <col min="22" max="22" width="22.19921875" style="3" bestFit="1" customWidth="1"/>
    <col min="23" max="16384" width="9" style="3" customWidth="1"/>
  </cols>
  <sheetData>
    <row r="1" spans="1:20" s="125" customFormat="1" ht="16.5">
      <c r="A1" s="832" t="s">
        <v>794</v>
      </c>
      <c r="B1" s="832"/>
      <c r="C1" s="832"/>
      <c r="D1" s="832"/>
      <c r="E1" s="835"/>
      <c r="F1" s="3"/>
      <c r="G1" s="3"/>
      <c r="H1" s="3"/>
      <c r="I1" s="126"/>
      <c r="J1" s="832" t="s">
        <v>809</v>
      </c>
      <c r="K1" s="832"/>
      <c r="L1" s="832"/>
      <c r="M1" s="832"/>
      <c r="N1" s="832"/>
      <c r="O1" s="832"/>
      <c r="P1" s="832"/>
      <c r="Q1" s="832"/>
      <c r="R1" s="832"/>
      <c r="S1" s="832"/>
      <c r="T1" s="832"/>
    </row>
    <row r="2" spans="1:20" s="125" customFormat="1" ht="16.5">
      <c r="A2" s="833" t="s">
        <v>260</v>
      </c>
      <c r="B2" s="833"/>
      <c r="C2" s="833"/>
      <c r="D2" s="833"/>
      <c r="E2" s="850"/>
      <c r="F2" s="3"/>
      <c r="G2" s="3"/>
      <c r="H2" s="3"/>
      <c r="I2" s="126"/>
      <c r="J2" s="834" t="s">
        <v>810</v>
      </c>
      <c r="K2" s="834"/>
      <c r="L2" s="834"/>
      <c r="M2" s="834"/>
      <c r="N2" s="834"/>
      <c r="O2" s="834"/>
      <c r="P2" s="834"/>
      <c r="Q2" s="834"/>
      <c r="R2" s="834"/>
      <c r="S2" s="834"/>
      <c r="T2" s="834"/>
    </row>
    <row r="3" spans="1:20" s="125" customFormat="1" ht="15.75">
      <c r="A3" s="810" t="s">
        <v>811</v>
      </c>
      <c r="B3" s="810"/>
      <c r="C3" s="810"/>
      <c r="D3" s="810"/>
      <c r="E3" s="851"/>
      <c r="F3" s="3"/>
      <c r="G3" s="3"/>
      <c r="H3" s="3"/>
      <c r="I3" s="126"/>
      <c r="J3" s="821" t="s">
        <v>802</v>
      </c>
      <c r="K3" s="821"/>
      <c r="L3" s="821"/>
      <c r="M3" s="821"/>
      <c r="N3" s="821"/>
      <c r="O3" s="821"/>
      <c r="P3" s="821"/>
      <c r="Q3" s="821"/>
      <c r="R3" s="821"/>
      <c r="S3" s="821"/>
      <c r="T3" s="821"/>
    </row>
    <row r="4" spans="1:20" s="125" customFormat="1" ht="20.25">
      <c r="A4" s="818"/>
      <c r="B4" s="692"/>
      <c r="C4" s="823"/>
      <c r="D4" s="824"/>
      <c r="E4" s="824"/>
      <c r="F4" s="824"/>
      <c r="G4" s="824"/>
      <c r="H4" s="824"/>
      <c r="I4" s="126"/>
      <c r="J4" s="126"/>
      <c r="K4" s="126"/>
      <c r="L4" s="693"/>
      <c r="M4" s="693"/>
      <c r="N4" s="693"/>
      <c r="O4" s="693"/>
      <c r="P4" s="693"/>
      <c r="Q4" s="693"/>
      <c r="R4" s="693"/>
      <c r="S4" s="693"/>
      <c r="T4" s="693"/>
    </row>
    <row r="5" spans="1:20" s="125" customFormat="1" ht="15.75" customHeight="1">
      <c r="A5" s="825" t="s">
        <v>828</v>
      </c>
      <c r="B5" s="825"/>
      <c r="C5" s="825"/>
      <c r="D5" s="825"/>
      <c r="E5" s="825"/>
      <c r="F5" s="825"/>
      <c r="G5" s="825"/>
      <c r="H5" s="825"/>
      <c r="I5" s="825"/>
      <c r="J5" s="825"/>
      <c r="K5" s="825"/>
      <c r="L5" s="825"/>
      <c r="M5" s="825"/>
      <c r="N5" s="825"/>
      <c r="O5" s="825"/>
      <c r="P5" s="825"/>
      <c r="Q5" s="825"/>
      <c r="R5" s="825"/>
      <c r="S5" s="825"/>
      <c r="T5" s="825"/>
    </row>
    <row r="6" spans="1:20" ht="18.75">
      <c r="A6" s="727" t="s">
        <v>239</v>
      </c>
      <c r="B6" s="727"/>
      <c r="C6" s="727"/>
      <c r="D6" s="727"/>
      <c r="E6" s="727"/>
      <c r="F6" s="727"/>
      <c r="G6" s="727"/>
      <c r="H6" s="727"/>
      <c r="I6" s="727"/>
      <c r="J6" s="727"/>
      <c r="K6" s="727"/>
      <c r="L6" s="727"/>
      <c r="M6" s="727"/>
      <c r="N6" s="727"/>
      <c r="O6" s="727"/>
      <c r="P6" s="727"/>
      <c r="Q6" s="727"/>
      <c r="R6" s="727"/>
      <c r="S6" s="727"/>
      <c r="T6" s="727"/>
    </row>
    <row r="7" spans="1:20" ht="18.75">
      <c r="A7" s="727" t="s">
        <v>478</v>
      </c>
      <c r="B7" s="727"/>
      <c r="C7" s="727"/>
      <c r="D7" s="727"/>
      <c r="E7" s="727"/>
      <c r="F7" s="727"/>
      <c r="G7" s="727"/>
      <c r="H7" s="727"/>
      <c r="I7" s="727"/>
      <c r="J7" s="727"/>
      <c r="K7" s="727"/>
      <c r="L7" s="727"/>
      <c r="M7" s="727"/>
      <c r="N7" s="727"/>
      <c r="O7" s="727"/>
      <c r="P7" s="727"/>
      <c r="Q7" s="727"/>
      <c r="R7" s="727"/>
      <c r="S7" s="727"/>
      <c r="T7" s="727"/>
    </row>
    <row r="8" spans="1:20" ht="18.75">
      <c r="A8" s="847" t="s">
        <v>800</v>
      </c>
      <c r="B8" s="847"/>
      <c r="C8" s="847"/>
      <c r="D8" s="847"/>
      <c r="E8" s="847"/>
      <c r="F8" s="847"/>
      <c r="G8" s="847"/>
      <c r="H8" s="847"/>
      <c r="I8" s="847"/>
      <c r="J8" s="847"/>
      <c r="K8" s="847"/>
      <c r="L8" s="847"/>
      <c r="M8" s="847"/>
      <c r="N8" s="847"/>
      <c r="O8" s="847"/>
      <c r="P8" s="847"/>
      <c r="Q8" s="847"/>
      <c r="R8" s="847"/>
      <c r="S8" s="847"/>
      <c r="T8" s="847"/>
    </row>
    <row r="9" spans="1:20" ht="15.75">
      <c r="A9" s="846" t="s">
        <v>803</v>
      </c>
      <c r="B9" s="846"/>
      <c r="C9" s="846"/>
      <c r="D9" s="846"/>
      <c r="E9" s="846"/>
      <c r="F9" s="846"/>
      <c r="G9" s="846"/>
      <c r="H9" s="846"/>
      <c r="I9" s="846"/>
      <c r="J9" s="846"/>
      <c r="K9" s="846"/>
      <c r="L9" s="846"/>
      <c r="M9" s="846"/>
      <c r="N9" s="846"/>
      <c r="O9" s="846"/>
      <c r="P9" s="846"/>
      <c r="Q9" s="846"/>
      <c r="R9" s="846"/>
      <c r="S9" s="846"/>
      <c r="T9" s="846"/>
    </row>
    <row r="10" spans="1:20" ht="19.5" customHeight="1">
      <c r="A10" s="5"/>
      <c r="B10" s="5"/>
      <c r="H10" s="40"/>
      <c r="I10" s="40"/>
      <c r="J10" s="40"/>
      <c r="K10" s="40"/>
      <c r="L10" s="40"/>
      <c r="M10" s="40"/>
      <c r="N10" s="40"/>
      <c r="O10" s="40"/>
      <c r="P10" s="40"/>
      <c r="Q10" s="40"/>
      <c r="R10" s="40"/>
      <c r="S10" s="40"/>
      <c r="T10" s="41" t="s">
        <v>0</v>
      </c>
    </row>
    <row r="11" spans="1:20" ht="25.5" customHeight="1">
      <c r="A11" s="708" t="s">
        <v>62</v>
      </c>
      <c r="B11" s="710" t="s">
        <v>69</v>
      </c>
      <c r="C11" s="708" t="s">
        <v>81</v>
      </c>
      <c r="D11" s="708" t="s">
        <v>3</v>
      </c>
      <c r="E11" s="708" t="s">
        <v>19</v>
      </c>
      <c r="F11" s="708" t="s">
        <v>20</v>
      </c>
      <c r="G11" s="708" t="s">
        <v>82</v>
      </c>
      <c r="H11" s="708" t="s">
        <v>83</v>
      </c>
      <c r="I11" s="708" t="s">
        <v>84</v>
      </c>
      <c r="J11" s="708" t="s">
        <v>243</v>
      </c>
      <c r="K11" s="708" t="s">
        <v>86</v>
      </c>
      <c r="L11" s="708" t="s">
        <v>88</v>
      </c>
      <c r="M11" s="708" t="s">
        <v>89</v>
      </c>
      <c r="N11" s="708" t="s">
        <v>90</v>
      </c>
      <c r="O11" s="708"/>
      <c r="P11" s="708"/>
      <c r="Q11" s="708" t="s">
        <v>91</v>
      </c>
      <c r="R11" s="708" t="s">
        <v>92</v>
      </c>
      <c r="S11" s="708" t="s">
        <v>96</v>
      </c>
      <c r="T11" s="708" t="s">
        <v>4</v>
      </c>
    </row>
    <row r="12" spans="1:20" ht="15.75" customHeight="1">
      <c r="A12" s="710"/>
      <c r="B12" s="710"/>
      <c r="C12" s="708"/>
      <c r="D12" s="708"/>
      <c r="E12" s="708"/>
      <c r="F12" s="708"/>
      <c r="G12" s="708"/>
      <c r="H12" s="708"/>
      <c r="I12" s="708"/>
      <c r="J12" s="708"/>
      <c r="K12" s="708"/>
      <c r="L12" s="708"/>
      <c r="M12" s="708"/>
      <c r="N12" s="708" t="s">
        <v>94</v>
      </c>
      <c r="O12" s="714" t="s">
        <v>245</v>
      </c>
      <c r="P12" s="708" t="s">
        <v>192</v>
      </c>
      <c r="Q12" s="708"/>
      <c r="R12" s="708"/>
      <c r="S12" s="708"/>
      <c r="T12" s="708"/>
    </row>
    <row r="13" spans="1:20" ht="15.75">
      <c r="A13" s="710"/>
      <c r="B13" s="710"/>
      <c r="C13" s="708"/>
      <c r="D13" s="708"/>
      <c r="E13" s="708"/>
      <c r="F13" s="708"/>
      <c r="G13" s="708"/>
      <c r="H13" s="708"/>
      <c r="I13" s="708"/>
      <c r="J13" s="708"/>
      <c r="K13" s="708"/>
      <c r="L13" s="708"/>
      <c r="M13" s="708"/>
      <c r="N13" s="708"/>
      <c r="O13" s="715"/>
      <c r="P13" s="708"/>
      <c r="Q13" s="708"/>
      <c r="R13" s="708"/>
      <c r="S13" s="708"/>
      <c r="T13" s="708"/>
    </row>
    <row r="14" spans="1:20" ht="116.25" customHeight="1">
      <c r="A14" s="710"/>
      <c r="B14" s="710"/>
      <c r="C14" s="708"/>
      <c r="D14" s="708"/>
      <c r="E14" s="708"/>
      <c r="F14" s="708"/>
      <c r="G14" s="708"/>
      <c r="H14" s="708"/>
      <c r="I14" s="708"/>
      <c r="J14" s="708"/>
      <c r="K14" s="708"/>
      <c r="L14" s="708"/>
      <c r="M14" s="708"/>
      <c r="N14" s="708"/>
      <c r="O14" s="716"/>
      <c r="P14" s="708"/>
      <c r="Q14" s="708"/>
      <c r="R14" s="708"/>
      <c r="S14" s="708"/>
      <c r="T14" s="708"/>
    </row>
    <row r="15" spans="1:20" s="9" customFormat="1" ht="17.25" customHeight="1">
      <c r="A15" s="6" t="s">
        <v>5</v>
      </c>
      <c r="B15" s="7" t="s">
        <v>6</v>
      </c>
      <c r="C15" s="8">
        <v>1</v>
      </c>
      <c r="D15" s="42">
        <f aca="true" t="shared" si="0" ref="D15:S15">C15+1</f>
        <v>2</v>
      </c>
      <c r="E15" s="42">
        <f t="shared" si="0"/>
        <v>3</v>
      </c>
      <c r="F15" s="42">
        <f t="shared" si="0"/>
        <v>4</v>
      </c>
      <c r="G15" s="42">
        <f t="shared" si="0"/>
        <v>5</v>
      </c>
      <c r="H15" s="42">
        <f t="shared" si="0"/>
        <v>6</v>
      </c>
      <c r="I15" s="42">
        <f t="shared" si="0"/>
        <v>7</v>
      </c>
      <c r="J15" s="42">
        <f t="shared" si="0"/>
        <v>8</v>
      </c>
      <c r="K15" s="42">
        <f t="shared" si="0"/>
        <v>9</v>
      </c>
      <c r="L15" s="42">
        <f>K15+1</f>
        <v>10</v>
      </c>
      <c r="M15" s="42">
        <f t="shared" si="0"/>
        <v>11</v>
      </c>
      <c r="N15" s="42">
        <f t="shared" si="0"/>
        <v>12</v>
      </c>
      <c r="O15" s="42">
        <f>N15+1</f>
        <v>13</v>
      </c>
      <c r="P15" s="42">
        <f>O15+1</f>
        <v>14</v>
      </c>
      <c r="Q15" s="42">
        <f t="shared" si="0"/>
        <v>15</v>
      </c>
      <c r="R15" s="42">
        <f t="shared" si="0"/>
        <v>16</v>
      </c>
      <c r="S15" s="42">
        <f t="shared" si="0"/>
        <v>17</v>
      </c>
      <c r="T15" s="8" t="s">
        <v>95</v>
      </c>
    </row>
    <row r="16" spans="1:23" ht="15.75">
      <c r="A16" s="109"/>
      <c r="B16" s="109" t="s">
        <v>70</v>
      </c>
      <c r="C16" s="112">
        <f aca="true" t="shared" si="1" ref="C16:S16">SUM(C17:C58)</f>
        <v>264312</v>
      </c>
      <c r="D16" s="112">
        <f t="shared" si="1"/>
        <v>281486.9057609999</v>
      </c>
      <c r="E16" s="112">
        <f t="shared" si="1"/>
        <v>135001.790152</v>
      </c>
      <c r="F16" s="112">
        <f t="shared" si="1"/>
        <v>114.644</v>
      </c>
      <c r="G16" s="112">
        <f t="shared" si="1"/>
        <v>4779.876</v>
      </c>
      <c r="H16" s="112">
        <f t="shared" si="1"/>
        <v>2180.968</v>
      </c>
      <c r="I16" s="127">
        <f t="shared" si="1"/>
        <v>0</v>
      </c>
      <c r="J16" s="112">
        <f t="shared" si="1"/>
        <v>7107.685925</v>
      </c>
      <c r="K16" s="112">
        <f t="shared" si="1"/>
        <v>1016.654589</v>
      </c>
      <c r="L16" s="112">
        <f t="shared" si="1"/>
        <v>8584.37168</v>
      </c>
      <c r="M16" s="128">
        <f t="shared" si="1"/>
        <v>78090.091872</v>
      </c>
      <c r="N16" s="112">
        <f t="shared" si="1"/>
        <v>2419.9951340000002</v>
      </c>
      <c r="O16" s="112">
        <f t="shared" si="1"/>
        <v>693.2185</v>
      </c>
      <c r="P16" s="112">
        <f t="shared" si="1"/>
        <v>74976.878238</v>
      </c>
      <c r="Q16" s="112">
        <f t="shared" si="1"/>
        <v>31951.374552999998</v>
      </c>
      <c r="R16" s="112">
        <f t="shared" si="1"/>
        <v>10536.69699</v>
      </c>
      <c r="S16" s="112">
        <f t="shared" si="1"/>
        <v>2122.752</v>
      </c>
      <c r="T16" s="127">
        <f>D16/C16*100</f>
        <v>106.4979667063924</v>
      </c>
      <c r="W16" s="150"/>
    </row>
    <row r="17" spans="1:23" s="43" customFormat="1" ht="15.75">
      <c r="A17" s="151">
        <v>1</v>
      </c>
      <c r="B17" s="108" t="s">
        <v>198</v>
      </c>
      <c r="C17" s="110">
        <v>7451</v>
      </c>
      <c r="D17" s="110">
        <f aca="true" t="shared" si="2" ref="D17:D23">SUM(E17:M17,Q17:S17)</f>
        <v>7758.508556</v>
      </c>
      <c r="E17" s="112"/>
      <c r="F17" s="112"/>
      <c r="G17" s="112"/>
      <c r="H17" s="112"/>
      <c r="I17" s="112"/>
      <c r="J17" s="112"/>
      <c r="K17" s="112"/>
      <c r="L17" s="112"/>
      <c r="M17" s="136">
        <f>N17+O17+P17</f>
        <v>0</v>
      </c>
      <c r="N17" s="112"/>
      <c r="O17" s="112"/>
      <c r="P17" s="112"/>
      <c r="Q17" s="110">
        <f>7758508556/1000000</f>
        <v>7758.508556</v>
      </c>
      <c r="R17" s="157"/>
      <c r="S17" s="112"/>
      <c r="T17" s="134">
        <f>D17/C17*100</f>
        <v>104.12707765400617</v>
      </c>
      <c r="W17" s="153"/>
    </row>
    <row r="18" spans="1:20" s="43" customFormat="1" ht="15.75">
      <c r="A18" s="151">
        <v>2</v>
      </c>
      <c r="B18" s="108" t="s">
        <v>199</v>
      </c>
      <c r="C18" s="110">
        <v>582</v>
      </c>
      <c r="D18" s="110">
        <f t="shared" si="2"/>
        <v>628.888647</v>
      </c>
      <c r="E18" s="112"/>
      <c r="F18" s="112"/>
      <c r="G18" s="112"/>
      <c r="H18" s="112"/>
      <c r="I18" s="112"/>
      <c r="J18" s="112"/>
      <c r="K18" s="112"/>
      <c r="L18" s="112"/>
      <c r="M18" s="136">
        <f aca="true" t="shared" si="3" ref="M18:M58">N18+O18+P18</f>
        <v>0</v>
      </c>
      <c r="N18" s="112"/>
      <c r="O18" s="112"/>
      <c r="P18" s="112"/>
      <c r="Q18" s="110">
        <f>628888647/1000000</f>
        <v>628.888647</v>
      </c>
      <c r="R18" s="157"/>
      <c r="S18" s="112"/>
      <c r="T18" s="134">
        <f aca="true" t="shared" si="4" ref="T18:T58">D18/C18*100</f>
        <v>108.05646855670103</v>
      </c>
    </row>
    <row r="19" spans="1:20" s="43" customFormat="1" ht="15.75">
      <c r="A19" s="151">
        <v>3</v>
      </c>
      <c r="B19" s="108" t="s">
        <v>200</v>
      </c>
      <c r="C19" s="110">
        <v>1622</v>
      </c>
      <c r="D19" s="110">
        <f t="shared" si="2"/>
        <v>1770.845841</v>
      </c>
      <c r="E19" s="112"/>
      <c r="F19" s="112"/>
      <c r="G19" s="112"/>
      <c r="H19" s="112"/>
      <c r="I19" s="112"/>
      <c r="J19" s="112"/>
      <c r="K19" s="112"/>
      <c r="L19" s="112"/>
      <c r="M19" s="136">
        <f t="shared" si="3"/>
        <v>0</v>
      </c>
      <c r="N19" s="112"/>
      <c r="O19" s="112"/>
      <c r="P19" s="112"/>
      <c r="Q19" s="110">
        <f>1770845841/1000000</f>
        <v>1770.845841</v>
      </c>
      <c r="R19" s="157"/>
      <c r="S19" s="112"/>
      <c r="T19" s="134">
        <f t="shared" si="4"/>
        <v>109.1766856350185</v>
      </c>
    </row>
    <row r="20" spans="1:20" s="156" customFormat="1" ht="15.75">
      <c r="A20" s="151">
        <v>4</v>
      </c>
      <c r="B20" s="139" t="s">
        <v>201</v>
      </c>
      <c r="C20" s="154">
        <v>6848</v>
      </c>
      <c r="D20" s="154">
        <f t="shared" si="2"/>
        <v>7660.246503</v>
      </c>
      <c r="E20" s="155"/>
      <c r="F20" s="155"/>
      <c r="G20" s="155"/>
      <c r="H20" s="155"/>
      <c r="I20" s="155"/>
      <c r="J20" s="155"/>
      <c r="K20" s="155"/>
      <c r="L20" s="155"/>
      <c r="M20" s="335">
        <f>N20+O20+P20</f>
        <v>6380.069624</v>
      </c>
      <c r="N20" s="154">
        <f>462615134/1000000</f>
        <v>462.615134</v>
      </c>
      <c r="O20" s="154"/>
      <c r="P20" s="154">
        <f>(4809030000+678424490+430000000)/1000000</f>
        <v>5917.45449</v>
      </c>
      <c r="Q20" s="154">
        <f>(981682823+298494056)/1000000</f>
        <v>1280.176879</v>
      </c>
      <c r="R20" s="159"/>
      <c r="S20" s="155"/>
      <c r="T20" s="391">
        <f t="shared" si="4"/>
        <v>111.86107627044393</v>
      </c>
    </row>
    <row r="21" spans="1:22" s="43" customFormat="1" ht="15.75">
      <c r="A21" s="151">
        <v>5</v>
      </c>
      <c r="B21" s="139" t="s">
        <v>202</v>
      </c>
      <c r="C21" s="110">
        <v>1987</v>
      </c>
      <c r="D21" s="110">
        <f t="shared" si="2"/>
        <v>3254.781398</v>
      </c>
      <c r="E21" s="112"/>
      <c r="F21" s="110">
        <f>87424000/1000000</f>
        <v>87.424</v>
      </c>
      <c r="G21" s="112"/>
      <c r="H21" s="112"/>
      <c r="I21" s="112"/>
      <c r="J21" s="112"/>
      <c r="K21" s="112"/>
      <c r="L21" s="112"/>
      <c r="M21" s="136">
        <f>N21+O21+P21</f>
        <v>1972.1228039999999</v>
      </c>
      <c r="N21" s="134">
        <v>0</v>
      </c>
      <c r="O21" s="136">
        <f>(641046000+52172500)/1000000</f>
        <v>693.2185</v>
      </c>
      <c r="P21" s="110">
        <f>(169696005+1109208299)/1000000</f>
        <v>1278.904304</v>
      </c>
      <c r="Q21" s="110">
        <f>(1192234594+3000000)/1000000</f>
        <v>1195.234594</v>
      </c>
      <c r="R21" s="157"/>
      <c r="S21" s="112"/>
      <c r="T21" s="134">
        <f t="shared" si="4"/>
        <v>163.80379456467037</v>
      </c>
      <c r="V21" s="153"/>
    </row>
    <row r="22" spans="1:22" s="43" customFormat="1" ht="18" customHeight="1">
      <c r="A22" s="151">
        <v>6</v>
      </c>
      <c r="B22" s="108" t="s">
        <v>203</v>
      </c>
      <c r="C22" s="110">
        <v>135536</v>
      </c>
      <c r="D22" s="110">
        <f t="shared" si="2"/>
        <v>133244.829356</v>
      </c>
      <c r="E22" s="110">
        <f>(27526344970+54560344626+37973472995+51832779+1305076687+41354491+399592991+460308277+278456316+9545467995)/1000000</f>
        <v>132142.252127</v>
      </c>
      <c r="F22" s="112"/>
      <c r="G22" s="112"/>
      <c r="H22" s="112"/>
      <c r="I22" s="112"/>
      <c r="J22" s="112"/>
      <c r="K22" s="112"/>
      <c r="L22" s="112"/>
      <c r="M22" s="136">
        <f t="shared" si="3"/>
        <v>0</v>
      </c>
      <c r="N22" s="112"/>
      <c r="O22" s="112"/>
      <c r="P22" s="112"/>
      <c r="Q22" s="110">
        <f>(1102577229)/1000000</f>
        <v>1102.577229</v>
      </c>
      <c r="R22" s="157"/>
      <c r="S22" s="112"/>
      <c r="T22" s="134">
        <f t="shared" si="4"/>
        <v>98.30954827942392</v>
      </c>
      <c r="V22" s="460"/>
    </row>
    <row r="23" spans="1:22" s="43" customFormat="1" ht="15.75">
      <c r="A23" s="151">
        <v>7</v>
      </c>
      <c r="B23" s="108" t="s">
        <v>204</v>
      </c>
      <c r="C23" s="110">
        <v>766</v>
      </c>
      <c r="D23" s="110">
        <f t="shared" si="2"/>
        <v>632.302295</v>
      </c>
      <c r="E23" s="112"/>
      <c r="F23" s="112"/>
      <c r="G23" s="112"/>
      <c r="H23" s="112"/>
      <c r="I23" s="112"/>
      <c r="J23" s="112"/>
      <c r="K23" s="112"/>
      <c r="L23" s="112"/>
      <c r="M23" s="136">
        <f t="shared" si="3"/>
        <v>0</v>
      </c>
      <c r="N23" s="112"/>
      <c r="O23" s="112"/>
      <c r="P23" s="112"/>
      <c r="Q23" s="110">
        <f>632302295/1000000</f>
        <v>632.302295</v>
      </c>
      <c r="R23" s="157"/>
      <c r="S23" s="112"/>
      <c r="T23" s="134">
        <f t="shared" si="4"/>
        <v>82.54599151436031</v>
      </c>
      <c r="V23" s="153"/>
    </row>
    <row r="24" spans="1:20" s="43" customFormat="1" ht="15.75">
      <c r="A24" s="151">
        <v>8</v>
      </c>
      <c r="B24" s="108" t="s">
        <v>205</v>
      </c>
      <c r="C24" s="110">
        <v>19869</v>
      </c>
      <c r="D24" s="110">
        <f aca="true" t="shared" si="5" ref="D24:D57">SUM(E24:M24,Q24:S24)</f>
        <v>12597.380647999998</v>
      </c>
      <c r="E24" s="110">
        <f>(1164772000+188422800)/1000000</f>
        <v>1353.1948</v>
      </c>
      <c r="F24" s="110">
        <v>15</v>
      </c>
      <c r="G24" s="112"/>
      <c r="H24" s="112"/>
      <c r="I24" s="112"/>
      <c r="J24" s="112"/>
      <c r="K24" s="112"/>
      <c r="L24" s="112"/>
      <c r="M24" s="136">
        <f t="shared" si="3"/>
        <v>0</v>
      </c>
      <c r="N24" s="112"/>
      <c r="O24" s="112"/>
      <c r="P24" s="112"/>
      <c r="Q24" s="110">
        <f>1246027858/1000000</f>
        <v>1246.027858</v>
      </c>
      <c r="R24" s="158">
        <f>9983157990/1000000</f>
        <v>9983.15799</v>
      </c>
      <c r="S24" s="112"/>
      <c r="T24" s="134">
        <f t="shared" si="4"/>
        <v>63.402187568574156</v>
      </c>
    </row>
    <row r="25" spans="1:20" s="43" customFormat="1" ht="15.75">
      <c r="A25" s="151">
        <v>9</v>
      </c>
      <c r="B25" s="108" t="s">
        <v>206</v>
      </c>
      <c r="C25" s="110">
        <v>1110</v>
      </c>
      <c r="D25" s="110">
        <f t="shared" si="5"/>
        <v>1335.88642</v>
      </c>
      <c r="E25" s="112"/>
      <c r="F25" s="112"/>
      <c r="G25" s="112"/>
      <c r="H25" s="112"/>
      <c r="I25" s="112"/>
      <c r="J25" s="112"/>
      <c r="K25" s="112"/>
      <c r="L25" s="112"/>
      <c r="M25" s="136">
        <f t="shared" si="3"/>
        <v>0</v>
      </c>
      <c r="N25" s="112"/>
      <c r="O25" s="112"/>
      <c r="P25" s="112"/>
      <c r="Q25" s="110">
        <f>(1335886420)/1000000</f>
        <v>1335.88642</v>
      </c>
      <c r="R25" s="157"/>
      <c r="S25" s="112"/>
      <c r="T25" s="134">
        <f t="shared" si="4"/>
        <v>120.35012792792794</v>
      </c>
    </row>
    <row r="26" spans="1:22" s="43" customFormat="1" ht="15.75">
      <c r="A26" s="151">
        <v>10</v>
      </c>
      <c r="B26" s="108" t="s">
        <v>207</v>
      </c>
      <c r="C26" s="110">
        <v>1770</v>
      </c>
      <c r="D26" s="110">
        <f t="shared" si="5"/>
        <v>2384.647415</v>
      </c>
      <c r="E26" s="112"/>
      <c r="F26" s="110">
        <f>12220000/1000000</f>
        <v>12.22</v>
      </c>
      <c r="G26" s="112"/>
      <c r="H26" s="112"/>
      <c r="I26" s="112"/>
      <c r="J26" s="112"/>
      <c r="K26" s="112"/>
      <c r="L26" s="110">
        <f>605485695/1000000</f>
        <v>605.485695</v>
      </c>
      <c r="M26" s="136">
        <f t="shared" si="3"/>
        <v>349.32872</v>
      </c>
      <c r="N26" s="112"/>
      <c r="O26" s="112"/>
      <c r="P26" s="110">
        <f>349328720/1000000</f>
        <v>349.32872</v>
      </c>
      <c r="Q26" s="110">
        <f>(1014978000+402635000)/1000000</f>
        <v>1417.613</v>
      </c>
      <c r="R26" s="157"/>
      <c r="S26" s="112"/>
      <c r="T26" s="134">
        <f t="shared" si="4"/>
        <v>134.72584265536722</v>
      </c>
      <c r="V26" s="461"/>
    </row>
    <row r="27" spans="1:20" s="43" customFormat="1" ht="15.75">
      <c r="A27" s="151">
        <v>11</v>
      </c>
      <c r="B27" s="108" t="s">
        <v>208</v>
      </c>
      <c r="C27" s="110">
        <v>2809</v>
      </c>
      <c r="D27" s="110">
        <f t="shared" si="5"/>
        <v>3012.938824</v>
      </c>
      <c r="E27" s="112"/>
      <c r="F27" s="112"/>
      <c r="G27" s="112"/>
      <c r="H27" s="112"/>
      <c r="I27" s="112"/>
      <c r="J27" s="112"/>
      <c r="K27" s="112"/>
      <c r="L27" s="112"/>
      <c r="M27" s="136">
        <f t="shared" si="3"/>
        <v>0</v>
      </c>
      <c r="N27" s="112"/>
      <c r="O27" s="112"/>
      <c r="P27" s="112"/>
      <c r="Q27" s="110">
        <f>3012938824/1000000</f>
        <v>3012.938824</v>
      </c>
      <c r="R27" s="157"/>
      <c r="S27" s="112"/>
      <c r="T27" s="134">
        <f t="shared" si="4"/>
        <v>107.26019309362762</v>
      </c>
    </row>
    <row r="28" spans="1:20" s="43" customFormat="1" ht="15.75">
      <c r="A28" s="151">
        <v>12</v>
      </c>
      <c r="B28" s="108" t="s">
        <v>209</v>
      </c>
      <c r="C28" s="110">
        <v>1025</v>
      </c>
      <c r="D28" s="110">
        <f t="shared" si="5"/>
        <v>1141.303333</v>
      </c>
      <c r="E28" s="112"/>
      <c r="F28" s="112"/>
      <c r="G28" s="112"/>
      <c r="H28" s="112"/>
      <c r="I28" s="112"/>
      <c r="J28" s="112"/>
      <c r="K28" s="112"/>
      <c r="L28" s="112"/>
      <c r="M28" s="136">
        <f t="shared" si="3"/>
        <v>0</v>
      </c>
      <c r="N28" s="112"/>
      <c r="O28" s="112"/>
      <c r="P28" s="112"/>
      <c r="Q28" s="110">
        <f>1141303333/1000000</f>
        <v>1141.303333</v>
      </c>
      <c r="R28" s="157"/>
      <c r="S28" s="112"/>
      <c r="T28" s="134">
        <f t="shared" si="4"/>
        <v>111.34666663414635</v>
      </c>
    </row>
    <row r="29" spans="1:22" s="156" customFormat="1" ht="15.75">
      <c r="A29" s="151">
        <v>13</v>
      </c>
      <c r="B29" s="139" t="s">
        <v>233</v>
      </c>
      <c r="C29" s="154">
        <v>2721</v>
      </c>
      <c r="D29" s="154">
        <f t="shared" si="5"/>
        <v>2720.851705</v>
      </c>
      <c r="E29" s="155"/>
      <c r="F29" s="155"/>
      <c r="G29" s="155"/>
      <c r="H29" s="155"/>
      <c r="I29" s="155"/>
      <c r="J29" s="154">
        <f>2720851705/1000000</f>
        <v>2720.851705</v>
      </c>
      <c r="K29" s="155"/>
      <c r="L29" s="155"/>
      <c r="M29" s="335">
        <f t="shared" si="3"/>
        <v>0</v>
      </c>
      <c r="N29" s="155"/>
      <c r="O29" s="155"/>
      <c r="P29" s="155"/>
      <c r="Q29" s="155"/>
      <c r="R29" s="159"/>
      <c r="S29" s="155"/>
      <c r="T29" s="391">
        <f t="shared" si="4"/>
        <v>99.9945499816244</v>
      </c>
      <c r="V29" s="462"/>
    </row>
    <row r="30" spans="1:20" s="156" customFormat="1" ht="15.75">
      <c r="A30" s="151">
        <v>14</v>
      </c>
      <c r="B30" s="139" t="s">
        <v>210</v>
      </c>
      <c r="C30" s="154">
        <v>343</v>
      </c>
      <c r="D30" s="154">
        <f t="shared" si="5"/>
        <v>479.720066</v>
      </c>
      <c r="E30" s="155"/>
      <c r="F30" s="155"/>
      <c r="G30" s="155"/>
      <c r="H30" s="155"/>
      <c r="I30" s="155"/>
      <c r="J30" s="155"/>
      <c r="K30" s="154">
        <f>479720066/1000000</f>
        <v>479.720066</v>
      </c>
      <c r="L30" s="155"/>
      <c r="M30" s="335">
        <f t="shared" si="3"/>
        <v>0</v>
      </c>
      <c r="N30" s="155"/>
      <c r="O30" s="155"/>
      <c r="P30" s="155"/>
      <c r="Q30" s="155"/>
      <c r="R30" s="159"/>
      <c r="S30" s="155"/>
      <c r="T30" s="391">
        <f t="shared" si="4"/>
        <v>139.8600775510204</v>
      </c>
    </row>
    <row r="31" spans="1:21" s="395" customFormat="1" ht="15.75">
      <c r="A31" s="151">
        <v>15</v>
      </c>
      <c r="B31" s="161" t="s">
        <v>226</v>
      </c>
      <c r="C31" s="373">
        <v>217</v>
      </c>
      <c r="D31" s="373">
        <f>SUM(E31:M31,Q31:S31)</f>
        <v>211.388601</v>
      </c>
      <c r="E31" s="392"/>
      <c r="F31" s="392"/>
      <c r="G31" s="392"/>
      <c r="H31" s="392"/>
      <c r="I31" s="392"/>
      <c r="J31" s="392"/>
      <c r="K31" s="392"/>
      <c r="L31" s="392"/>
      <c r="M31" s="393">
        <f>N31+O31+P31</f>
        <v>0</v>
      </c>
      <c r="N31" s="392"/>
      <c r="O31" s="392"/>
      <c r="P31" s="392"/>
      <c r="Q31" s="373">
        <f>211388601/1000000</f>
        <v>211.388601</v>
      </c>
      <c r="R31" s="392"/>
      <c r="S31" s="392"/>
      <c r="T31" s="391">
        <f>D31/C31*100</f>
        <v>97.41410184331797</v>
      </c>
      <c r="U31" s="394"/>
    </row>
    <row r="32" spans="1:22" s="156" customFormat="1" ht="15.75">
      <c r="A32" s="151">
        <v>16</v>
      </c>
      <c r="B32" s="139" t="s">
        <v>594</v>
      </c>
      <c r="C32" s="154">
        <v>3374</v>
      </c>
      <c r="D32" s="373">
        <f>SUM(E32:M32,Q32:S32)</f>
        <v>4023.8317429999997</v>
      </c>
      <c r="E32" s="155"/>
      <c r="F32" s="155"/>
      <c r="G32" s="155"/>
      <c r="H32" s="155"/>
      <c r="I32" s="155"/>
      <c r="J32" s="154">
        <f>3486897220/1000000</f>
        <v>3486.89722</v>
      </c>
      <c r="K32" s="154">
        <f>536934523/1000000</f>
        <v>536.934523</v>
      </c>
      <c r="L32" s="155"/>
      <c r="M32" s="335"/>
      <c r="N32" s="155"/>
      <c r="O32" s="155"/>
      <c r="P32" s="155"/>
      <c r="Q32" s="155"/>
      <c r="R32" s="159"/>
      <c r="S32" s="155"/>
      <c r="T32" s="391">
        <f>D32/C32*100</f>
        <v>119.25998052756373</v>
      </c>
      <c r="V32" s="462"/>
    </row>
    <row r="33" spans="1:20" s="156" customFormat="1" ht="15.75">
      <c r="A33" s="151">
        <v>17</v>
      </c>
      <c r="B33" s="139" t="s">
        <v>211</v>
      </c>
      <c r="C33" s="154">
        <v>1147</v>
      </c>
      <c r="D33" s="154">
        <f t="shared" si="5"/>
        <v>1111.304178</v>
      </c>
      <c r="E33" s="155"/>
      <c r="F33" s="155"/>
      <c r="G33" s="155"/>
      <c r="H33" s="155"/>
      <c r="I33" s="155"/>
      <c r="J33" s="155"/>
      <c r="K33" s="155"/>
      <c r="L33" s="155"/>
      <c r="M33" s="335">
        <f t="shared" si="3"/>
        <v>0</v>
      </c>
      <c r="N33" s="155"/>
      <c r="O33" s="155"/>
      <c r="P33" s="155"/>
      <c r="Q33" s="154">
        <f>1111304178/1000000</f>
        <v>1111.304178</v>
      </c>
      <c r="R33" s="159"/>
      <c r="S33" s="155"/>
      <c r="T33" s="391">
        <f t="shared" si="4"/>
        <v>96.88789694856148</v>
      </c>
    </row>
    <row r="34" spans="1:20" s="156" customFormat="1" ht="15.75">
      <c r="A34" s="151">
        <v>18</v>
      </c>
      <c r="B34" s="139" t="s">
        <v>234</v>
      </c>
      <c r="C34" s="154">
        <v>1177</v>
      </c>
      <c r="D34" s="154">
        <f t="shared" si="5"/>
        <v>1231.129328</v>
      </c>
      <c r="E34" s="155"/>
      <c r="F34" s="155"/>
      <c r="G34" s="155"/>
      <c r="H34" s="155"/>
      <c r="I34" s="155"/>
      <c r="J34" s="155"/>
      <c r="K34" s="155"/>
      <c r="L34" s="155"/>
      <c r="M34" s="335">
        <f t="shared" si="3"/>
        <v>0</v>
      </c>
      <c r="N34" s="155"/>
      <c r="O34" s="155"/>
      <c r="P34" s="155"/>
      <c r="Q34" s="154">
        <f>1231129328/1000000</f>
        <v>1231.129328</v>
      </c>
      <c r="R34" s="159"/>
      <c r="S34" s="155"/>
      <c r="T34" s="391">
        <f t="shared" si="4"/>
        <v>104.59892336448597</v>
      </c>
    </row>
    <row r="35" spans="1:20" s="156" customFormat="1" ht="15.75">
      <c r="A35" s="151">
        <v>19</v>
      </c>
      <c r="B35" s="139" t="s">
        <v>212</v>
      </c>
      <c r="C35" s="154">
        <v>48187</v>
      </c>
      <c r="D35" s="154">
        <f t="shared" si="5"/>
        <v>71825.409709</v>
      </c>
      <c r="E35" s="155"/>
      <c r="F35" s="155"/>
      <c r="G35" s="155"/>
      <c r="H35" s="155"/>
      <c r="I35" s="155"/>
      <c r="J35" s="155"/>
      <c r="K35" s="155"/>
      <c r="L35" s="154">
        <f>7228885985/1000000</f>
        <v>7228.885985</v>
      </c>
      <c r="M35" s="335">
        <f t="shared" si="3"/>
        <v>64288.523724</v>
      </c>
      <c r="N35" s="155"/>
      <c r="O35" s="155"/>
      <c r="P35" s="154">
        <f>(64083443724+205080000)/1000000</f>
        <v>64288.523724</v>
      </c>
      <c r="Q35" s="155"/>
      <c r="R35" s="159"/>
      <c r="S35" s="154">
        <f>308000000/1000000</f>
        <v>308</v>
      </c>
      <c r="T35" s="391">
        <f t="shared" si="4"/>
        <v>149.05557455122752</v>
      </c>
    </row>
    <row r="36" spans="1:20" s="156" customFormat="1" ht="15.75">
      <c r="A36" s="151">
        <v>20</v>
      </c>
      <c r="B36" s="139" t="s">
        <v>213</v>
      </c>
      <c r="C36" s="154">
        <v>1292</v>
      </c>
      <c r="D36" s="154">
        <f t="shared" si="5"/>
        <v>1506.343225</v>
      </c>
      <c r="E36" s="154">
        <f>1506343225/1000000</f>
        <v>1506.343225</v>
      </c>
      <c r="F36" s="155"/>
      <c r="G36" s="155"/>
      <c r="H36" s="155"/>
      <c r="I36" s="155"/>
      <c r="J36" s="155"/>
      <c r="K36" s="155"/>
      <c r="L36" s="155"/>
      <c r="M36" s="335">
        <f t="shared" si="3"/>
        <v>0</v>
      </c>
      <c r="N36" s="155"/>
      <c r="O36" s="155"/>
      <c r="P36" s="155"/>
      <c r="Q36" s="155"/>
      <c r="R36" s="159"/>
      <c r="S36" s="155"/>
      <c r="T36" s="391">
        <f t="shared" si="4"/>
        <v>116.59003289473684</v>
      </c>
    </row>
    <row r="37" spans="1:20" s="156" customFormat="1" ht="15.75">
      <c r="A37" s="151">
        <v>21</v>
      </c>
      <c r="B37" s="396" t="s">
        <v>214</v>
      </c>
      <c r="C37" s="154">
        <v>1953</v>
      </c>
      <c r="D37" s="154">
        <f t="shared" si="5"/>
        <v>2140.195345</v>
      </c>
      <c r="E37" s="155"/>
      <c r="F37" s="155"/>
      <c r="G37" s="155"/>
      <c r="H37" s="155"/>
      <c r="I37" s="155"/>
      <c r="J37" s="155"/>
      <c r="K37" s="155"/>
      <c r="L37" s="155"/>
      <c r="M37" s="335">
        <f t="shared" si="3"/>
        <v>0</v>
      </c>
      <c r="N37" s="155"/>
      <c r="O37" s="155"/>
      <c r="P37" s="155"/>
      <c r="Q37" s="154">
        <f>2140195345/1000000</f>
        <v>2140.195345</v>
      </c>
      <c r="R37" s="159"/>
      <c r="S37" s="155"/>
      <c r="T37" s="391">
        <f t="shared" si="4"/>
        <v>109.58501510496671</v>
      </c>
    </row>
    <row r="38" spans="1:22" s="43" customFormat="1" ht="15.75">
      <c r="A38" s="151">
        <v>22</v>
      </c>
      <c r="B38" s="140" t="s">
        <v>215</v>
      </c>
      <c r="C38" s="110">
        <v>741</v>
      </c>
      <c r="D38" s="110">
        <f t="shared" si="5"/>
        <v>1028.689505</v>
      </c>
      <c r="E38" s="112"/>
      <c r="F38" s="112"/>
      <c r="G38" s="112"/>
      <c r="H38" s="112"/>
      <c r="I38" s="112"/>
      <c r="J38" s="112"/>
      <c r="K38" s="112"/>
      <c r="L38" s="112"/>
      <c r="M38" s="136">
        <f t="shared" si="3"/>
        <v>0</v>
      </c>
      <c r="N38" s="112"/>
      <c r="O38" s="112"/>
      <c r="P38" s="112"/>
      <c r="Q38" s="110">
        <f>1028689505/1000000</f>
        <v>1028.689505</v>
      </c>
      <c r="R38" s="157"/>
      <c r="S38" s="112"/>
      <c r="T38" s="134">
        <f t="shared" si="4"/>
        <v>138.82449460188934</v>
      </c>
      <c r="V38" s="153"/>
    </row>
    <row r="39" spans="1:20" s="43" customFormat="1" ht="15.75">
      <c r="A39" s="151">
        <v>23</v>
      </c>
      <c r="B39" s="140" t="s">
        <v>216</v>
      </c>
      <c r="C39" s="110">
        <v>672</v>
      </c>
      <c r="D39" s="110">
        <f t="shared" si="5"/>
        <v>806.602198</v>
      </c>
      <c r="E39" s="112"/>
      <c r="F39" s="112"/>
      <c r="G39" s="112"/>
      <c r="H39" s="112"/>
      <c r="I39" s="112"/>
      <c r="J39" s="112"/>
      <c r="K39" s="112"/>
      <c r="L39" s="112"/>
      <c r="M39" s="136">
        <f t="shared" si="3"/>
        <v>0</v>
      </c>
      <c r="N39" s="112"/>
      <c r="O39" s="112"/>
      <c r="P39" s="112"/>
      <c r="Q39" s="110">
        <f>806602198/1000000</f>
        <v>806.602198</v>
      </c>
      <c r="R39" s="157"/>
      <c r="S39" s="112"/>
      <c r="T39" s="134">
        <f t="shared" si="4"/>
        <v>120.03008898809524</v>
      </c>
    </row>
    <row r="40" spans="1:20" s="43" customFormat="1" ht="15.75">
      <c r="A40" s="151">
        <v>24</v>
      </c>
      <c r="B40" s="140" t="s">
        <v>217</v>
      </c>
      <c r="C40" s="110">
        <v>828</v>
      </c>
      <c r="D40" s="110">
        <f t="shared" si="5"/>
        <v>949.442755</v>
      </c>
      <c r="E40" s="112"/>
      <c r="F40" s="112"/>
      <c r="G40" s="112"/>
      <c r="H40" s="112"/>
      <c r="I40" s="112"/>
      <c r="J40" s="112"/>
      <c r="K40" s="112"/>
      <c r="L40" s="112"/>
      <c r="M40" s="136">
        <f t="shared" si="3"/>
        <v>0</v>
      </c>
      <c r="N40" s="112"/>
      <c r="O40" s="112"/>
      <c r="P40" s="112"/>
      <c r="Q40" s="110">
        <f>949442755/1000000</f>
        <v>949.442755</v>
      </c>
      <c r="R40" s="157"/>
      <c r="S40" s="112"/>
      <c r="T40" s="134">
        <f t="shared" si="4"/>
        <v>114.66699939613527</v>
      </c>
    </row>
    <row r="41" spans="1:20" s="43" customFormat="1" ht="15.75">
      <c r="A41" s="151">
        <v>25</v>
      </c>
      <c r="B41" s="140" t="s">
        <v>218</v>
      </c>
      <c r="C41" s="110">
        <v>677</v>
      </c>
      <c r="D41" s="110">
        <f t="shared" si="5"/>
        <v>561.753017</v>
      </c>
      <c r="E41" s="112"/>
      <c r="F41" s="112"/>
      <c r="G41" s="112"/>
      <c r="H41" s="112"/>
      <c r="I41" s="112"/>
      <c r="J41" s="112"/>
      <c r="K41" s="112"/>
      <c r="L41" s="112"/>
      <c r="M41" s="136">
        <f t="shared" si="3"/>
        <v>0</v>
      </c>
      <c r="N41" s="112"/>
      <c r="O41" s="112"/>
      <c r="P41" s="112"/>
      <c r="Q41" s="110">
        <f>561753017/1000000</f>
        <v>561.753017</v>
      </c>
      <c r="R41" s="157"/>
      <c r="S41" s="112"/>
      <c r="T41" s="134">
        <f t="shared" si="4"/>
        <v>82.97681196454948</v>
      </c>
    </row>
    <row r="42" spans="1:20" s="43" customFormat="1" ht="15.75">
      <c r="A42" s="151">
        <v>26</v>
      </c>
      <c r="B42" s="108" t="s">
        <v>219</v>
      </c>
      <c r="C42" s="110">
        <v>396</v>
      </c>
      <c r="D42" s="110">
        <f t="shared" si="5"/>
        <v>434.722762</v>
      </c>
      <c r="E42" s="112"/>
      <c r="F42" s="112"/>
      <c r="G42" s="112"/>
      <c r="H42" s="112"/>
      <c r="I42" s="112"/>
      <c r="J42" s="112"/>
      <c r="K42" s="112"/>
      <c r="L42" s="112"/>
      <c r="M42" s="136">
        <f t="shared" si="3"/>
        <v>0</v>
      </c>
      <c r="N42" s="112"/>
      <c r="O42" s="112"/>
      <c r="P42" s="112"/>
      <c r="Q42" s="110">
        <f>434722762/1000000</f>
        <v>434.722762</v>
      </c>
      <c r="R42" s="157"/>
      <c r="S42" s="112"/>
      <c r="T42" s="134">
        <f t="shared" si="4"/>
        <v>109.77847525252524</v>
      </c>
    </row>
    <row r="43" spans="1:20" s="43" customFormat="1" ht="15.75">
      <c r="A43" s="151">
        <v>27</v>
      </c>
      <c r="B43" s="108" t="s">
        <v>220</v>
      </c>
      <c r="C43" s="110">
        <v>204</v>
      </c>
      <c r="D43" s="110">
        <f t="shared" si="5"/>
        <v>176.898993</v>
      </c>
      <c r="E43" s="112"/>
      <c r="F43" s="112"/>
      <c r="G43" s="112"/>
      <c r="H43" s="112"/>
      <c r="I43" s="112"/>
      <c r="J43" s="112"/>
      <c r="K43" s="112"/>
      <c r="L43" s="112"/>
      <c r="M43" s="136">
        <f t="shared" si="3"/>
        <v>0</v>
      </c>
      <c r="N43" s="112"/>
      <c r="O43" s="112"/>
      <c r="P43" s="112"/>
      <c r="Q43" s="110">
        <f>176898993/1000000</f>
        <v>176.898993</v>
      </c>
      <c r="R43" s="157"/>
      <c r="S43" s="112"/>
      <c r="T43" s="134">
        <f t="shared" si="4"/>
        <v>86.71519264705881</v>
      </c>
    </row>
    <row r="44" spans="1:20" s="43" customFormat="1" ht="15.75">
      <c r="A44" s="151">
        <v>28</v>
      </c>
      <c r="B44" s="108" t="s">
        <v>221</v>
      </c>
      <c r="C44" s="110">
        <v>231</v>
      </c>
      <c r="D44" s="110">
        <f t="shared" si="5"/>
        <v>217.378431</v>
      </c>
      <c r="E44" s="112"/>
      <c r="F44" s="112"/>
      <c r="G44" s="112"/>
      <c r="H44" s="112"/>
      <c r="I44" s="112"/>
      <c r="J44" s="112"/>
      <c r="K44" s="112"/>
      <c r="L44" s="112"/>
      <c r="M44" s="136">
        <f t="shared" si="3"/>
        <v>0</v>
      </c>
      <c r="N44" s="112"/>
      <c r="O44" s="112"/>
      <c r="P44" s="112"/>
      <c r="Q44" s="110">
        <f>217378431/1000000</f>
        <v>217.378431</v>
      </c>
      <c r="R44" s="157"/>
      <c r="S44" s="112"/>
      <c r="T44" s="134">
        <f t="shared" si="4"/>
        <v>94.10321688311689</v>
      </c>
    </row>
    <row r="45" spans="1:20" s="43" customFormat="1" ht="15.75">
      <c r="A45" s="151">
        <v>29</v>
      </c>
      <c r="B45" s="108" t="s">
        <v>222</v>
      </c>
      <c r="C45" s="110">
        <v>163</v>
      </c>
      <c r="D45" s="110">
        <f t="shared" si="5"/>
        <v>79.499</v>
      </c>
      <c r="E45" s="112"/>
      <c r="F45" s="112"/>
      <c r="G45" s="112"/>
      <c r="H45" s="112"/>
      <c r="I45" s="112"/>
      <c r="J45" s="112"/>
      <c r="K45" s="112"/>
      <c r="L45" s="112"/>
      <c r="M45" s="136">
        <f t="shared" si="3"/>
        <v>0</v>
      </c>
      <c r="N45" s="112"/>
      <c r="O45" s="112"/>
      <c r="P45" s="112"/>
      <c r="Q45" s="110">
        <f>79499000/1000000</f>
        <v>79.499</v>
      </c>
      <c r="R45" s="157"/>
      <c r="S45" s="112"/>
      <c r="T45" s="134">
        <f t="shared" si="4"/>
        <v>48.772392638036806</v>
      </c>
    </row>
    <row r="46" spans="1:20" s="43" customFormat="1" ht="15.75">
      <c r="A46" s="151">
        <v>30</v>
      </c>
      <c r="B46" s="108" t="s">
        <v>223</v>
      </c>
      <c r="C46" s="110">
        <v>138</v>
      </c>
      <c r="D46" s="110">
        <f t="shared" si="5"/>
        <v>116.5625</v>
      </c>
      <c r="E46" s="112"/>
      <c r="F46" s="112"/>
      <c r="G46" s="112"/>
      <c r="H46" s="112"/>
      <c r="I46" s="112"/>
      <c r="J46" s="112"/>
      <c r="K46" s="112"/>
      <c r="L46" s="112"/>
      <c r="M46" s="136">
        <f t="shared" si="3"/>
        <v>0</v>
      </c>
      <c r="N46" s="112"/>
      <c r="O46" s="112"/>
      <c r="P46" s="112"/>
      <c r="Q46" s="110">
        <f>116562500/1000000</f>
        <v>116.5625</v>
      </c>
      <c r="R46" s="157"/>
      <c r="S46" s="112"/>
      <c r="T46" s="134">
        <f t="shared" si="4"/>
        <v>84.46557971014492</v>
      </c>
    </row>
    <row r="47" spans="1:20" s="9" customFormat="1" ht="31.5">
      <c r="A47" s="152">
        <v>31</v>
      </c>
      <c r="B47" s="130" t="s">
        <v>224</v>
      </c>
      <c r="C47" s="131">
        <v>122</v>
      </c>
      <c r="D47" s="131">
        <f t="shared" si="5"/>
        <v>123.026298</v>
      </c>
      <c r="E47" s="133"/>
      <c r="F47" s="133"/>
      <c r="G47" s="133"/>
      <c r="H47" s="133"/>
      <c r="I47" s="133"/>
      <c r="J47" s="133"/>
      <c r="K47" s="133"/>
      <c r="L47" s="133"/>
      <c r="M47" s="137">
        <f t="shared" si="3"/>
        <v>0</v>
      </c>
      <c r="N47" s="133"/>
      <c r="O47" s="133"/>
      <c r="P47" s="133"/>
      <c r="Q47" s="131">
        <f>123026298/1000000</f>
        <v>123.026298</v>
      </c>
      <c r="R47" s="133"/>
      <c r="S47" s="133"/>
      <c r="T47" s="135">
        <f t="shared" si="4"/>
        <v>100.84122786885246</v>
      </c>
    </row>
    <row r="48" spans="1:20" s="9" customFormat="1" ht="15.75">
      <c r="A48" s="151">
        <v>32</v>
      </c>
      <c r="B48" s="123" t="s">
        <v>225</v>
      </c>
      <c r="C48" s="131">
        <v>238</v>
      </c>
      <c r="D48" s="131">
        <f t="shared" si="5"/>
        <v>240.478166</v>
      </c>
      <c r="E48" s="133"/>
      <c r="F48" s="133"/>
      <c r="G48" s="133"/>
      <c r="H48" s="133"/>
      <c r="I48" s="133"/>
      <c r="J48" s="133"/>
      <c r="K48" s="133"/>
      <c r="L48" s="133"/>
      <c r="M48" s="137">
        <f t="shared" si="3"/>
        <v>0</v>
      </c>
      <c r="N48" s="133"/>
      <c r="O48" s="133"/>
      <c r="P48" s="133"/>
      <c r="Q48" s="131">
        <f>240478166/1000000</f>
        <v>240.478166</v>
      </c>
      <c r="R48" s="133"/>
      <c r="S48" s="133"/>
      <c r="T48" s="134">
        <f t="shared" si="4"/>
        <v>101.04124621848737</v>
      </c>
    </row>
    <row r="49" spans="1:20" s="125" customFormat="1" ht="19.5" customHeight="1">
      <c r="A49" s="151">
        <v>33</v>
      </c>
      <c r="B49" s="123" t="s">
        <v>227</v>
      </c>
      <c r="C49" s="131">
        <v>2325</v>
      </c>
      <c r="D49" s="131">
        <f t="shared" si="5"/>
        <v>2180.968</v>
      </c>
      <c r="E49" s="123"/>
      <c r="F49" s="123"/>
      <c r="G49" s="123"/>
      <c r="H49" s="137">
        <f>(1563768000+617200000)/1000000</f>
        <v>2180.968</v>
      </c>
      <c r="I49" s="123"/>
      <c r="J49" s="123"/>
      <c r="K49" s="123"/>
      <c r="L49" s="123"/>
      <c r="M49" s="137">
        <f t="shared" si="3"/>
        <v>0</v>
      </c>
      <c r="N49" s="123"/>
      <c r="O49" s="123"/>
      <c r="P49" s="123"/>
      <c r="Q49" s="123"/>
      <c r="R49" s="123"/>
      <c r="S49" s="123"/>
      <c r="T49" s="134">
        <f t="shared" si="4"/>
        <v>93.80507526881719</v>
      </c>
    </row>
    <row r="50" spans="1:20" s="125" customFormat="1" ht="15.75">
      <c r="A50" s="151">
        <v>34</v>
      </c>
      <c r="B50" s="123" t="s">
        <v>228</v>
      </c>
      <c r="C50" s="131">
        <v>4737</v>
      </c>
      <c r="D50" s="131">
        <f t="shared" si="5"/>
        <v>4779.876</v>
      </c>
      <c r="E50" s="123"/>
      <c r="F50" s="123"/>
      <c r="G50" s="137">
        <f>(409070000+4370806000)/1000000</f>
        <v>4779.876</v>
      </c>
      <c r="H50" s="123"/>
      <c r="I50" s="123"/>
      <c r="J50" s="123"/>
      <c r="K50" s="123"/>
      <c r="L50" s="123"/>
      <c r="M50" s="137">
        <f t="shared" si="3"/>
        <v>0</v>
      </c>
      <c r="N50" s="123"/>
      <c r="O50" s="123"/>
      <c r="P50" s="123"/>
      <c r="Q50" s="123"/>
      <c r="R50" s="123"/>
      <c r="S50" s="123"/>
      <c r="T50" s="134">
        <f t="shared" si="4"/>
        <v>100.9051298290057</v>
      </c>
    </row>
    <row r="51" spans="1:20" s="125" customFormat="1" ht="15.75">
      <c r="A51" s="151">
        <v>35</v>
      </c>
      <c r="B51" s="123" t="s">
        <v>229</v>
      </c>
      <c r="C51" s="131">
        <v>850</v>
      </c>
      <c r="D51" s="131">
        <f t="shared" si="5"/>
        <v>750</v>
      </c>
      <c r="E51" s="123"/>
      <c r="F51" s="123"/>
      <c r="G51" s="123"/>
      <c r="H51" s="123"/>
      <c r="I51" s="123"/>
      <c r="J51" s="123"/>
      <c r="K51" s="123"/>
      <c r="L51" s="160">
        <f>750</f>
        <v>750</v>
      </c>
      <c r="M51" s="137">
        <f t="shared" si="3"/>
        <v>0</v>
      </c>
      <c r="N51" s="123"/>
      <c r="O51" s="463"/>
      <c r="P51" s="137">
        <v>0</v>
      </c>
      <c r="Q51" s="123"/>
      <c r="R51" s="123"/>
      <c r="S51" s="135">
        <v>0</v>
      </c>
      <c r="T51" s="134">
        <f t="shared" si="4"/>
        <v>88.23529411764706</v>
      </c>
    </row>
    <row r="52" spans="1:20" s="125" customFormat="1" ht="31.5">
      <c r="A52" s="152">
        <v>36</v>
      </c>
      <c r="B52" s="130" t="s">
        <v>230</v>
      </c>
      <c r="C52" s="135">
        <v>0</v>
      </c>
      <c r="D52" s="131">
        <f>SUM(E52:M52,Q52:S52)</f>
        <v>6500.647000000001</v>
      </c>
      <c r="E52" s="123"/>
      <c r="F52" s="123"/>
      <c r="G52" s="123"/>
      <c r="H52" s="123"/>
      <c r="I52" s="123"/>
      <c r="J52" s="137">
        <f>899937000/1000000</f>
        <v>899.937</v>
      </c>
      <c r="K52" s="123"/>
      <c r="L52" s="123"/>
      <c r="M52" s="137">
        <f t="shared" si="3"/>
        <v>5100.0470000000005</v>
      </c>
      <c r="N52" s="137">
        <f>1957380000/1000000</f>
        <v>1957.38</v>
      </c>
      <c r="O52" s="137"/>
      <c r="P52" s="137">
        <v>3142.667</v>
      </c>
      <c r="Q52" s="123"/>
      <c r="R52" s="123"/>
      <c r="S52" s="137">
        <f>500663000/1000000</f>
        <v>500.663</v>
      </c>
      <c r="T52" s="135"/>
    </row>
    <row r="53" spans="1:20" s="125" customFormat="1" ht="15.75">
      <c r="A53" s="151">
        <v>37</v>
      </c>
      <c r="B53" s="130" t="s">
        <v>235</v>
      </c>
      <c r="C53" s="137">
        <v>2000</v>
      </c>
      <c r="D53" s="135">
        <f t="shared" si="5"/>
        <v>0</v>
      </c>
      <c r="E53" s="123"/>
      <c r="F53" s="123"/>
      <c r="G53" s="123"/>
      <c r="H53" s="123"/>
      <c r="I53" s="123"/>
      <c r="J53" s="123"/>
      <c r="K53" s="123"/>
      <c r="L53" s="123"/>
      <c r="M53" s="137">
        <f t="shared" si="3"/>
        <v>0</v>
      </c>
      <c r="N53" s="123"/>
      <c r="O53" s="123"/>
      <c r="P53" s="123"/>
      <c r="Q53" s="123"/>
      <c r="R53" s="123"/>
      <c r="S53" s="123"/>
      <c r="T53" s="134">
        <f t="shared" si="4"/>
        <v>0</v>
      </c>
    </row>
    <row r="54" spans="1:20" s="125" customFormat="1" ht="47.25">
      <c r="A54" s="152">
        <v>38</v>
      </c>
      <c r="B54" s="130" t="s">
        <v>236</v>
      </c>
      <c r="C54" s="137">
        <v>4500</v>
      </c>
      <c r="D54" s="135">
        <f t="shared" si="5"/>
        <v>0</v>
      </c>
      <c r="E54" s="123"/>
      <c r="F54" s="123"/>
      <c r="G54" s="123"/>
      <c r="H54" s="123"/>
      <c r="I54" s="123"/>
      <c r="J54" s="123"/>
      <c r="K54" s="123"/>
      <c r="L54" s="123"/>
      <c r="M54" s="137">
        <f t="shared" si="3"/>
        <v>0</v>
      </c>
      <c r="N54" s="123"/>
      <c r="O54" s="123"/>
      <c r="P54" s="123"/>
      <c r="Q54" s="123"/>
      <c r="R54" s="123"/>
      <c r="S54" s="123"/>
      <c r="T54" s="135">
        <f t="shared" si="4"/>
        <v>0</v>
      </c>
    </row>
    <row r="55" spans="1:20" s="125" customFormat="1" ht="15.75">
      <c r="A55" s="151">
        <v>39</v>
      </c>
      <c r="B55" s="130" t="s">
        <v>237</v>
      </c>
      <c r="C55" s="137">
        <v>1800</v>
      </c>
      <c r="D55" s="135">
        <f t="shared" si="5"/>
        <v>0</v>
      </c>
      <c r="E55" s="123"/>
      <c r="F55" s="123"/>
      <c r="G55" s="123"/>
      <c r="H55" s="123"/>
      <c r="I55" s="123"/>
      <c r="J55" s="123"/>
      <c r="K55" s="123"/>
      <c r="L55" s="123"/>
      <c r="M55" s="137">
        <f t="shared" si="3"/>
        <v>0</v>
      </c>
      <c r="N55" s="123"/>
      <c r="O55" s="123"/>
      <c r="P55" s="123"/>
      <c r="Q55" s="123"/>
      <c r="R55" s="123"/>
      <c r="S55" s="123"/>
      <c r="T55" s="134">
        <f t="shared" si="4"/>
        <v>0</v>
      </c>
    </row>
    <row r="56" spans="1:20" s="125" customFormat="1" ht="17.25" customHeight="1">
      <c r="A56" s="151">
        <v>40</v>
      </c>
      <c r="B56" s="123" t="s">
        <v>231</v>
      </c>
      <c r="C56" s="137">
        <v>0</v>
      </c>
      <c r="D56" s="135">
        <f t="shared" si="5"/>
        <v>0</v>
      </c>
      <c r="E56" s="123"/>
      <c r="F56" s="123"/>
      <c r="G56" s="123"/>
      <c r="H56" s="123"/>
      <c r="I56" s="123"/>
      <c r="J56" s="123"/>
      <c r="K56" s="123"/>
      <c r="L56" s="123"/>
      <c r="M56" s="137">
        <f t="shared" si="3"/>
        <v>0</v>
      </c>
      <c r="N56" s="123"/>
      <c r="O56" s="123"/>
      <c r="P56" s="123"/>
      <c r="Q56" s="123"/>
      <c r="R56" s="123"/>
      <c r="S56" s="123"/>
      <c r="T56" s="134"/>
    </row>
    <row r="57" spans="1:20" s="125" customFormat="1" ht="17.25" customHeight="1">
      <c r="A57" s="151">
        <v>41</v>
      </c>
      <c r="B57" s="123" t="s">
        <v>238</v>
      </c>
      <c r="C57" s="137">
        <v>0</v>
      </c>
      <c r="D57" s="131">
        <f t="shared" si="5"/>
        <v>553.539</v>
      </c>
      <c r="E57" s="123"/>
      <c r="F57" s="123"/>
      <c r="G57" s="123"/>
      <c r="H57" s="123"/>
      <c r="I57" s="123"/>
      <c r="J57" s="123"/>
      <c r="K57" s="123"/>
      <c r="L57" s="123"/>
      <c r="M57" s="137">
        <f t="shared" si="3"/>
        <v>0</v>
      </c>
      <c r="N57" s="123"/>
      <c r="O57" s="123"/>
      <c r="P57" s="123"/>
      <c r="Q57" s="123"/>
      <c r="R57" s="137">
        <f>553539000/1000000</f>
        <v>553.539</v>
      </c>
      <c r="S57" s="123"/>
      <c r="T57" s="134"/>
    </row>
    <row r="58" spans="1:20" s="125" customFormat="1" ht="15.75">
      <c r="A58" s="151">
        <v>42</v>
      </c>
      <c r="B58" s="161" t="s">
        <v>232</v>
      </c>
      <c r="C58" s="137">
        <v>1904</v>
      </c>
      <c r="D58" s="131">
        <f>SUM(E58:M58,Q58:S58)</f>
        <v>1314.089</v>
      </c>
      <c r="E58" s="123"/>
      <c r="F58" s="123"/>
      <c r="G58" s="123"/>
      <c r="H58" s="123"/>
      <c r="I58" s="123"/>
      <c r="J58" s="123"/>
      <c r="K58" s="123"/>
      <c r="L58" s="123"/>
      <c r="M58" s="137">
        <f t="shared" si="3"/>
        <v>0</v>
      </c>
      <c r="N58" s="123"/>
      <c r="O58" s="123"/>
      <c r="P58" s="123"/>
      <c r="Q58" s="123"/>
      <c r="R58" s="123"/>
      <c r="S58" s="137">
        <f>(1302509000+11580000)/1000000</f>
        <v>1314.089</v>
      </c>
      <c r="T58" s="134">
        <f t="shared" si="4"/>
        <v>69.0172794117647</v>
      </c>
    </row>
  </sheetData>
  <sheetProtection/>
  <mergeCells count="32">
    <mergeCell ref="A5:T5"/>
    <mergeCell ref="A9:T9"/>
    <mergeCell ref="A1:D1"/>
    <mergeCell ref="J1:T1"/>
    <mergeCell ref="A2:D2"/>
    <mergeCell ref="J2:T2"/>
    <mergeCell ref="A3:D3"/>
    <mergeCell ref="J3:T3"/>
    <mergeCell ref="M11:M14"/>
    <mergeCell ref="N11:P11"/>
    <mergeCell ref="B11:B14"/>
    <mergeCell ref="C11:C14"/>
    <mergeCell ref="H11:H14"/>
    <mergeCell ref="I11:I14"/>
    <mergeCell ref="J11:J14"/>
    <mergeCell ref="K11:K14"/>
    <mergeCell ref="Q11:Q14"/>
    <mergeCell ref="R11:R14"/>
    <mergeCell ref="S11:S14"/>
    <mergeCell ref="O12:O14"/>
    <mergeCell ref="A6:T6"/>
    <mergeCell ref="A7:T7"/>
    <mergeCell ref="A8:T8"/>
    <mergeCell ref="A11:A14"/>
    <mergeCell ref="D11:D14"/>
    <mergeCell ref="E11:E14"/>
    <mergeCell ref="F11:F14"/>
    <mergeCell ref="G11:G14"/>
    <mergeCell ref="T11:T14"/>
    <mergeCell ref="N12:N14"/>
    <mergeCell ref="P12:P14"/>
    <mergeCell ref="L11:L14"/>
  </mergeCells>
  <printOptions horizontalCentered="1"/>
  <pageMargins left="0.1968503937007874" right="0.2362204724409449" top="0.5905511811023623" bottom="0.4330708661417323" header="0.4724409448818898" footer="0.15748031496062992"/>
  <pageSetup fitToHeight="5" fitToWidth="1" horizontalDpi="600" verticalDpi="600" orientation="landscape" paperSize="9" scale="69" r:id="rId1"/>
  <headerFooter alignWithMargins="0">
    <oddFooter>&amp;C&amp;".VnTime,Italic"&amp;8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2019-08-05T08:08:44Z</cp:lastPrinted>
  <dcterms:created xsi:type="dcterms:W3CDTF">2018-11-14T04:09:44Z</dcterms:created>
  <dcterms:modified xsi:type="dcterms:W3CDTF">2019-08-05T08:30:13Z</dcterms:modified>
  <cp:category/>
  <cp:version/>
  <cp:contentType/>
  <cp:contentStatus/>
</cp:coreProperties>
</file>